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eTWmhQyUM575kgVcRZrmzEFFn8EaxXb0xn6EhL1oNfkPdXhHtzUh9uox9gLly7HWNUie9or9Qv8S7tLFxUKC4g==" workbookSaltValue="uR3RCdjriSWSUdAiNhpKO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D18" i="12"/>
  <c r="ER19" i="8"/>
  <c r="EQ19" i="8"/>
  <c r="BA13" i="16"/>
  <c r="AC17" i="11"/>
  <c r="G18" i="12"/>
  <c r="W19" i="13"/>
  <c r="Z19" i="8"/>
  <c r="AL13" i="16"/>
  <c r="S13" i="16"/>
  <c r="P13" i="16"/>
  <c r="AN13" i="20"/>
  <c r="Z13" i="17"/>
  <c r="H13" i="12"/>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G12" i="8"/>
  <c r="BD9" i="8"/>
  <c r="I19" i="8"/>
  <c r="S15" i="17"/>
  <c r="E13" i="17"/>
  <c r="L15" i="2"/>
  <c r="X15" i="16"/>
  <c r="X18" i="16" s="1"/>
  <c r="V10" i="16"/>
  <c r="T13" i="20"/>
  <c r="T13" i="16"/>
  <c r="AP13" i="16"/>
  <c r="V9" i="16"/>
  <c r="T18" i="17"/>
  <c r="BG15" i="13"/>
  <c r="K20" i="20"/>
  <c r="Z20" i="20"/>
  <c r="AM20" i="20"/>
  <c r="AK20" i="20"/>
  <c r="W20" i="21"/>
  <c r="F20" i="20"/>
  <c r="J20" i="20"/>
  <c r="AF20" i="20"/>
  <c r="M20" i="20"/>
  <c r="AG20" i="20"/>
  <c r="S20" i="20"/>
  <c r="AN17" i="11" l="1"/>
  <c r="G17" i="3"/>
  <c r="AJ19" i="8"/>
  <c r="AR18" i="11"/>
  <c r="T19" i="8"/>
  <c r="T13" i="12"/>
  <c r="BA13" i="8"/>
  <c r="AO12" i="11"/>
  <c r="AA19" i="8"/>
  <c r="C19" i="3"/>
  <c r="M18" i="2"/>
  <c r="X12" i="21"/>
  <c r="BH9" i="16"/>
  <c r="S9" i="14"/>
  <c r="V9" i="14" s="1"/>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BK13" i="11" s="1"/>
  <c r="V11" i="11"/>
  <c r="BI10" i="11"/>
  <c r="Q10" i="21"/>
  <c r="BI15" i="11"/>
  <c r="BJ15" i="11"/>
  <c r="BJ12" i="11"/>
  <c r="AP15" i="20"/>
  <c r="BG15" i="11"/>
  <c r="AA17" i="16"/>
  <c r="X11" i="17"/>
  <c r="D17" i="6"/>
  <c r="BF12" i="8"/>
  <c r="AY13" i="8"/>
  <c r="BD15" i="8"/>
  <c r="H15" i="7" s="1"/>
  <c r="G18" i="2"/>
  <c r="BE9" i="8"/>
  <c r="I9" i="7" s="1"/>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I15" i="12" l="1"/>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AM20" i="21"/>
  <c r="AF20" i="11"/>
  <c r="N20" i="21"/>
  <c r="G20" i="12"/>
  <c r="L20" i="17"/>
  <c r="Y20" i="11"/>
  <c r="K20" i="12"/>
  <c r="AB20" i="17"/>
  <c r="W20" i="16"/>
  <c r="AO20" i="11"/>
  <c r="F20" i="11"/>
  <c r="AJ20" i="16"/>
  <c r="AE20" i="16"/>
  <c r="V20" i="20"/>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1"/>
  <c r="Z20" i="16"/>
  <c r="U20" i="21"/>
  <c r="AM20" i="11"/>
  <c r="BG20" i="16"/>
  <c r="J20" i="21"/>
  <c r="AW20" i="17"/>
  <c r="R20" i="17"/>
  <c r="S20" i="17"/>
  <c r="AG20" i="17"/>
  <c r="AZ20" i="11"/>
  <c r="V20" i="11"/>
  <c r="AO20" i="17"/>
  <c r="AU20" i="11"/>
  <c r="M20" i="16"/>
  <c r="AR20" i="20"/>
  <c r="U20" i="20"/>
  <c r="AP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<sst xmlns="http://schemas.openxmlformats.org/spreadsheetml/2006/main" count="2094" uniqueCount="914">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</sst>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LsWzeIi33dNk2eYPkZ4TFUHa5afyOnNOoOf+inJwFAaf3excWbaVLYt49OvlFRaZ6YxqVCY6K93oT/ltPKAAg==" saltValue="R6+GcIY5ppNiV5OEz0Wg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4</v>
      </c>
      <c r="F10" s="229">
        <f>IF(ISNUMBER(Datos!K10),Datos!K10," - ")</f>
        <v>1</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3</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12.850831742568857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4</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1360</v>
      </c>
      <c r="D16" s="228">
        <f>IF(ISNUMBER(IF(D_I="SI",Datos!I16,Datos!I16+Datos!AC16)),IF(D_I="SI",Datos!I16,Datos!I16+Datos!AC16)," - ")</f>
        <v>1191</v>
      </c>
      <c r="E16" s="229">
        <f>IF(ISNUMBER(IF(D_I="SI",Datos!J16,Datos!J16+Datos!AD16)),IF(D_I="SI",Datos!J16,Datos!J16+Datos!AD16)," - ")</f>
        <v>3538</v>
      </c>
      <c r="F16" s="229">
        <f>IF(ISNUMBER(IF(D_I="SI",Datos!K16,Datos!K16+Datos!AE16)),IF(D_I="SI",Datos!K16,Datos!K16+Datos!AE16)," - ")</f>
        <v>3104</v>
      </c>
      <c r="G16" s="1037" t="str">
        <f>IF(Datos!E16&lt;&gt;"",Datos!E16,Datos!D16)</f>
        <v>04</v>
      </c>
      <c r="H16" s="230">
        <f>IF(ISNUMBER(IF(D_I="SI",Datos!L16,Datos!L16+Datos!AF16)),IF(D_I="SI",Datos!L16,Datos!L16+Datos!AF16)," - ")</f>
        <v>1794</v>
      </c>
      <c r="I16" s="1047" t="str">
        <f>IF(ISNUMBER(Datos!AS16/Datos!BM16),Datos!AS16/Datos!BM16," - ")</f>
        <v xml:space="preserve"> - </v>
      </c>
      <c r="J16" s="1048">
        <f>IF(ISNUMBER(Datos!BY16/Datos!CN16),Datos!BY16/Datos!CN16," - ")</f>
        <v>0</v>
      </c>
      <c r="K16" s="233">
        <f t="shared" si="3"/>
        <v>0.31911764705882351</v>
      </c>
      <c r="L16" s="1028">
        <f>IF(ISNUMBER(NºAsuntos!I16/NºAsuntos!G16),(NºAsuntos!I16/NºAsuntos!G16)*11," - ")</f>
        <v>6.3576030927835046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v>
      </c>
      <c r="D17" s="228">
        <f>IF(ISNUMBER(IF(D_I="SI",Datos!I17,Datos!I17+Datos!AC17)),IF(D_I="SI",Datos!I17,Datos!I17+Datos!AC17)," - ")</f>
        <v>20</v>
      </c>
      <c r="E17" s="229">
        <f>IF(ISNUMBER(IF(D_I="SI",Datos!J17,Datos!J17+Datos!AD17)),IF(D_I="SI",Datos!J17,Datos!J17+Datos!AD17)," - ")</f>
        <v>253</v>
      </c>
      <c r="F17" s="229">
        <f>IF(ISNUMBER(IF(D_I="SI",Datos!K17,Datos!K17+Datos!AE17)),IF(D_I="SI",Datos!K17,Datos!K17+Datos!AE17)," - ")</f>
        <v>238</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0.75</v>
      </c>
      <c r="L17" s="1028">
        <f>IF(ISNUMBER(NºAsuntos!I17/NºAsuntos!G17),(NºAsuntos!I17/NºAsuntos!G17)*11," - ")</f>
        <v>1.6176470588235294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1380</v>
      </c>
      <c r="D18" s="1052">
        <f>SUBTOTAL(9,D15:D17)</f>
        <v>1211</v>
      </c>
      <c r="E18" s="1053">
        <f>SUBTOTAL(9,E15:E17)</f>
        <v>3791</v>
      </c>
      <c r="F18" s="1053">
        <f>SUBTOTAL(9,F15:F17)</f>
        <v>3342</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1381</v>
      </c>
      <c r="D19" s="1074">
        <f>SUBTOTAL(9,D9:D18)</f>
        <v>1212</v>
      </c>
      <c r="E19" s="1075">
        <f>SUBTOTAL(9,E9:E18)</f>
        <v>3795</v>
      </c>
      <c r="F19" s="1075">
        <f>SUBTOTAL(9,F9:F18)</f>
        <v>3343</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1I7gaAMfOP6kRA1AezTXxTH57SUUtnpexFD0wpbjcByivEmk90QN+F9CkbDniDVZOjuLc2+0IT/mur6h67zQNA==" saltValue="QYvrG2LXll2Iy0lCnDqFF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cGF2xRAxWS3EWGB3YHvmK5Vda+EwKbbhGDL9T4RfV6nt+pMvtSL0SSZjsQkj8xOzbCpDr+NQNFdwl1VxUPGIyQ==" saltValue="N6J8W3y+iydTaqy+MfYw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4</v>
      </c>
      <c r="K10" s="184">
        <v>1</v>
      </c>
      <c r="L10" s="184">
        <v>4</v>
      </c>
      <c r="M10" s="184">
        <v>0</v>
      </c>
      <c r="N10" s="184">
        <v>0</v>
      </c>
      <c r="O10" s="184">
        <v>0</v>
      </c>
      <c r="P10" s="184">
        <v>0</v>
      </c>
      <c r="Q10" s="184">
        <v>0</v>
      </c>
      <c r="R10" s="184">
        <v>2</v>
      </c>
      <c r="S10" s="184">
        <v>0</v>
      </c>
      <c r="T10" s="184">
        <v>4</v>
      </c>
      <c r="U10" s="184">
        <v>3</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4</v>
      </c>
      <c r="BA10" s="129">
        <f t="shared" si="0"/>
        <v>3</v>
      </c>
      <c r="BB10" s="129">
        <f t="shared" si="0"/>
        <v>1</v>
      </c>
      <c r="BC10" s="125">
        <f t="shared" si="0"/>
        <v>0</v>
      </c>
      <c r="BD10" s="126">
        <f>IF(ISNUMBER(BA10/AZ10),BA10/AZ10," - ")</f>
        <v>0.75</v>
      </c>
      <c r="BE10" s="127">
        <f>IF(ISNUMBER(BB10/BA10),BB10/BA10, " - ")</f>
        <v>0.33333333333333331</v>
      </c>
      <c r="BF10" s="127">
        <f>IF(ISNUMBER(BC10/BA10),BC10/BA10, " - ")</f>
        <v>0</v>
      </c>
      <c r="BG10" s="199">
        <f>IF(ISNUMBER((AY10+AZ10)/BA10),(AY10+AZ10)/BA10," - ")</f>
        <v>1.3333333333333333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2810</v>
      </c>
      <c r="J12" s="186">
        <v>4365</v>
      </c>
      <c r="K12" s="186">
        <v>3438</v>
      </c>
      <c r="L12" s="186">
        <v>4195</v>
      </c>
      <c r="M12" s="186">
        <v>806</v>
      </c>
      <c r="N12" s="186">
        <v>1081</v>
      </c>
      <c r="O12" s="184">
        <v>1376</v>
      </c>
      <c r="P12" s="186">
        <v>1194</v>
      </c>
      <c r="Q12" s="186">
        <v>1231</v>
      </c>
      <c r="R12" s="186">
        <v>5471</v>
      </c>
      <c r="S12" s="186">
        <v>3035</v>
      </c>
      <c r="T12" s="186">
        <v>3387</v>
      </c>
      <c r="U12" s="186">
        <v>3612</v>
      </c>
      <c r="V12" s="186">
        <v>2810</v>
      </c>
      <c r="W12" s="186">
        <v>885</v>
      </c>
      <c r="X12" s="192">
        <v>1122</v>
      </c>
      <c r="Y12" s="194">
        <v>69</v>
      </c>
      <c r="Z12" s="184">
        <v>232</v>
      </c>
      <c r="AA12" s="184">
        <v>229</v>
      </c>
      <c r="AB12" s="184">
        <v>89</v>
      </c>
      <c r="AC12" s="186">
        <v>0</v>
      </c>
      <c r="AD12" s="186">
        <v>0</v>
      </c>
      <c r="AE12" s="186">
        <v>0</v>
      </c>
      <c r="AF12" s="192">
        <v>0</v>
      </c>
      <c r="AG12" s="205">
        <v>80</v>
      </c>
      <c r="AH12" s="186">
        <v>307</v>
      </c>
      <c r="AI12" s="186">
        <v>318</v>
      </c>
      <c r="AJ12" s="206">
        <v>69</v>
      </c>
      <c r="AK12" s="185">
        <v>0</v>
      </c>
      <c r="AL12" s="186">
        <v>0</v>
      </c>
      <c r="AM12" s="186">
        <v>0</v>
      </c>
      <c r="AN12" s="192">
        <v>0</v>
      </c>
      <c r="AO12" s="262">
        <v>4</v>
      </c>
      <c r="AP12" s="158">
        <v>4</v>
      </c>
      <c r="AQ12" s="158">
        <v>4</v>
      </c>
      <c r="AR12" s="157">
        <v>4</v>
      </c>
      <c r="AS12" s="343" t="s">
        <v>803</v>
      </c>
      <c r="AT12" s="206"/>
      <c r="AU12" s="205"/>
      <c r="AV12" s="206"/>
      <c r="AW12" s="205"/>
      <c r="AX12" s="206"/>
      <c r="AY12" s="126">
        <f t="shared" si="1"/>
        <v>3115</v>
      </c>
      <c r="AZ12" s="127">
        <f t="shared" si="1"/>
        <v>3694</v>
      </c>
      <c r="BA12" s="127">
        <f t="shared" si="1"/>
        <v>3930</v>
      </c>
      <c r="BB12" s="127">
        <f t="shared" si="1"/>
        <v>2879</v>
      </c>
      <c r="BC12" s="125">
        <f>IF(ISNUMBER(X12),X12," - ")</f>
        <v>1122</v>
      </c>
      <c r="BD12" s="126">
        <f t="shared" si="2"/>
        <v>1.0638873849485653</v>
      </c>
      <c r="BE12" s="127">
        <f t="shared" si="3"/>
        <v>0.7325699745547074</v>
      </c>
      <c r="BF12" s="127">
        <f t="shared" si="4"/>
        <v>0.28549618320610687</v>
      </c>
      <c r="BG12" s="199">
        <f t="shared" si="5"/>
        <v>1.7325699745547074</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2811</v>
      </c>
      <c r="J13" s="187">
        <f t="shared" si="6"/>
        <v>4369</v>
      </c>
      <c r="K13" s="187">
        <f t="shared" si="6"/>
        <v>3439</v>
      </c>
      <c r="L13" s="187">
        <f t="shared" si="6"/>
        <v>4199</v>
      </c>
      <c r="M13" s="187">
        <f t="shared" si="6"/>
        <v>806</v>
      </c>
      <c r="N13" s="187">
        <f t="shared" si="6"/>
        <v>1081</v>
      </c>
      <c r="O13" s="187">
        <f t="shared" si="6"/>
        <v>1376</v>
      </c>
      <c r="P13" s="187">
        <f t="shared" si="6"/>
        <v>1194</v>
      </c>
      <c r="Q13" s="187">
        <f t="shared" si="6"/>
        <v>1231</v>
      </c>
      <c r="R13" s="187">
        <f t="shared" si="6"/>
        <v>5473</v>
      </c>
      <c r="S13" s="187">
        <f t="shared" si="6"/>
        <v>3035</v>
      </c>
      <c r="T13" s="187">
        <f t="shared" si="6"/>
        <v>3391</v>
      </c>
      <c r="U13" s="187">
        <f t="shared" si="6"/>
        <v>3615</v>
      </c>
      <c r="V13" s="187">
        <f t="shared" si="6"/>
        <v>2811</v>
      </c>
      <c r="W13" s="187">
        <f t="shared" si="6"/>
        <v>885</v>
      </c>
      <c r="X13" s="187">
        <f t="shared" si="6"/>
        <v>1122</v>
      </c>
      <c r="Y13" s="187">
        <f t="shared" si="6"/>
        <v>69</v>
      </c>
      <c r="Z13" s="187">
        <f t="shared" si="6"/>
        <v>232</v>
      </c>
      <c r="AA13" s="187">
        <f t="shared" si="6"/>
        <v>229</v>
      </c>
      <c r="AB13" s="187">
        <f t="shared" si="6"/>
        <v>89</v>
      </c>
      <c r="AC13" s="187">
        <f t="shared" si="6"/>
        <v>0</v>
      </c>
      <c r="AD13" s="187">
        <f t="shared" si="6"/>
        <v>0</v>
      </c>
      <c r="AE13" s="187">
        <f t="shared" si="6"/>
        <v>0</v>
      </c>
      <c r="AF13" s="187">
        <f>SUBTOTAL(9,AF9:AF12)</f>
        <v>0</v>
      </c>
      <c r="AG13" s="187">
        <f t="shared" ref="AG13:AT13" si="7">SUBTOTAL(9,AG8:AG12)</f>
        <v>80</v>
      </c>
      <c r="AH13" s="187">
        <f t="shared" si="7"/>
        <v>307</v>
      </c>
      <c r="AI13" s="187">
        <f t="shared" si="7"/>
        <v>318</v>
      </c>
      <c r="AJ13" s="187">
        <f t="shared" si="7"/>
        <v>69</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3115</v>
      </c>
      <c r="AZ13" s="187">
        <f>SUBTOTAL(9,AZ8:AZ12)</f>
        <v>3698</v>
      </c>
      <c r="BA13" s="187">
        <f>SUBTOTAL(9,BA8:BA12)</f>
        <v>3933</v>
      </c>
      <c r="BB13" s="187">
        <f>SUBTOTAL(9,BB8:BB12)</f>
        <v>2880</v>
      </c>
      <c r="BC13" s="187">
        <f>SUBTOTAL(9,BC8:BC12)</f>
        <v>1122</v>
      </c>
      <c r="BD13" s="208">
        <f>IF(ISNUMBER(BA13/AZ13),BA13/AZ13," - ")</f>
        <v>1.0635478637101137</v>
      </c>
      <c r="BE13" s="209">
        <f>IF(ISNUMBER(BB13/BA13),BB13/BA13, " - ")</f>
        <v>0.73226544622425627</v>
      </c>
      <c r="BF13" s="209">
        <f>IF(ISNUMBER(BC13/BA13),BC13/BA13, " - ")</f>
        <v>0.28527841342486654</v>
      </c>
      <c r="BG13" s="210">
        <f>IF(ISNUMBER((AY13+AZ13)/BA13),(AY13+AZ13)/BA13," - ")</f>
        <v>1.7322654462242564</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1191</v>
      </c>
      <c r="J16" s="186">
        <v>3538</v>
      </c>
      <c r="K16" s="186">
        <v>3104</v>
      </c>
      <c r="L16" s="186">
        <v>1794</v>
      </c>
      <c r="M16" s="186">
        <v>537</v>
      </c>
      <c r="N16" s="186">
        <v>1821</v>
      </c>
      <c r="O16" s="184">
        <v>0</v>
      </c>
      <c r="P16" s="186">
        <v>123</v>
      </c>
      <c r="Q16" s="186">
        <v>109</v>
      </c>
      <c r="R16" s="186">
        <v>242</v>
      </c>
      <c r="S16" s="186">
        <v>1190</v>
      </c>
      <c r="T16" s="186">
        <v>3196</v>
      </c>
      <c r="U16" s="186">
        <v>3210</v>
      </c>
      <c r="V16" s="186">
        <v>1191</v>
      </c>
      <c r="W16" s="186">
        <v>581</v>
      </c>
      <c r="X16" s="192">
        <v>1844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1190</v>
      </c>
      <c r="AZ16" s="127">
        <f t="shared" si="9"/>
        <v>3196</v>
      </c>
      <c r="BA16" s="127">
        <f t="shared" si="9"/>
        <v>3210</v>
      </c>
      <c r="BB16" s="127">
        <f t="shared" si="9"/>
        <v>1191</v>
      </c>
      <c r="BC16" s="125">
        <f>IF(ISNUMBER(W16),W16," - ")</f>
        <v>581</v>
      </c>
      <c r="BD16" s="126">
        <f t="shared" ref="BD16" si="11">IF(ISNUMBER(BA16/AZ16),BA16/AZ16," - ")</f>
        <v>1.0043804755944932</v>
      </c>
      <c r="BE16" s="127">
        <f t="shared" ref="BE16" si="12">IF(ISNUMBER(BB16/BA16),BB16/BA16, " - ")</f>
        <v>0.37102803738317758</v>
      </c>
      <c r="BF16" s="127">
        <f t="shared" ref="BF16" si="13">IF(ISNUMBER(BC16/BA16),BC16/BA16, " - ")</f>
        <v>0.18099688473520248</v>
      </c>
      <c r="BG16" s="199">
        <f t="shared" si="10"/>
        <v>1.3663551401869158</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20</v>
      </c>
      <c r="J17" s="186">
        <v>253</v>
      </c>
      <c r="K17" s="186">
        <v>238</v>
      </c>
      <c r="L17" s="186">
        <v>35</v>
      </c>
      <c r="M17" s="186">
        <v>102</v>
      </c>
      <c r="N17" s="186">
        <v>157</v>
      </c>
      <c r="O17" s="186">
        <v>0</v>
      </c>
      <c r="P17" s="186">
        <v>0</v>
      </c>
      <c r="Q17" s="186">
        <v>0</v>
      </c>
      <c r="R17" s="186">
        <v>0</v>
      </c>
      <c r="S17" s="186">
        <v>23</v>
      </c>
      <c r="T17" s="186">
        <v>269</v>
      </c>
      <c r="U17" s="186">
        <v>281</v>
      </c>
      <c r="V17" s="186">
        <v>20</v>
      </c>
      <c r="W17" s="186">
        <v>80</v>
      </c>
      <c r="X17" s="192">
        <v>161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23</v>
      </c>
      <c r="AZ17" s="129">
        <f t="shared" si="14"/>
        <v>269</v>
      </c>
      <c r="BA17" s="129">
        <f t="shared" si="14"/>
        <v>281</v>
      </c>
      <c r="BB17" s="129">
        <f t="shared" si="14"/>
        <v>20</v>
      </c>
      <c r="BC17" s="125">
        <f>IF(ISNUMBER(W17),W17," - ")</f>
        <v>80</v>
      </c>
      <c r="BD17" s="126">
        <f>IF(ISNUMBER(BA17/AZ17),BA17/AZ17," - ")</f>
        <v>1.0446096654275092</v>
      </c>
      <c r="BE17" s="127">
        <f>IF(ISNUMBER(BB17/BA17),BB17/BA17, " - ")</f>
        <v>7.1174377224199295E-2</v>
      </c>
      <c r="BF17" s="127">
        <f>IF(ISNUMBER(BC17/BA17),BC17/BA17, " - ")</f>
        <v>0.28469750889679718</v>
      </c>
      <c r="BG17" s="199">
        <f>IF(ISNUMBER((AY17+AZ17)/BA17),(AY17+AZ17)/BA17," - ")</f>
        <v>1.0391459074733096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1211</v>
      </c>
      <c r="J18" s="187">
        <f t="shared" si="15"/>
        <v>3791</v>
      </c>
      <c r="K18" s="187">
        <f t="shared" si="15"/>
        <v>3342</v>
      </c>
      <c r="L18" s="187">
        <f t="shared" si="15"/>
        <v>1829</v>
      </c>
      <c r="M18" s="187">
        <f t="shared" si="15"/>
        <v>639</v>
      </c>
      <c r="N18" s="187">
        <f t="shared" si="15"/>
        <v>1978</v>
      </c>
      <c r="O18" s="187">
        <f t="shared" si="15"/>
        <v>0</v>
      </c>
      <c r="P18" s="187">
        <f t="shared" si="15"/>
        <v>123</v>
      </c>
      <c r="Q18" s="187">
        <f t="shared" si="15"/>
        <v>109</v>
      </c>
      <c r="R18" s="187">
        <f t="shared" si="15"/>
        <v>242</v>
      </c>
      <c r="S18" s="187">
        <f t="shared" si="15"/>
        <v>1213</v>
      </c>
      <c r="T18" s="187">
        <f t="shared" si="15"/>
        <v>3465</v>
      </c>
      <c r="U18" s="187">
        <f t="shared" si="15"/>
        <v>3491</v>
      </c>
      <c r="V18" s="187">
        <f t="shared" si="15"/>
        <v>1211</v>
      </c>
      <c r="W18" s="187">
        <f t="shared" si="15"/>
        <v>661</v>
      </c>
      <c r="X18" s="187">
        <f t="shared" si="15"/>
        <v>2005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1213</v>
      </c>
      <c r="AZ18" s="187">
        <f>SUBTOTAL(9,AZ14:AZ17)</f>
        <v>3465</v>
      </c>
      <c r="BA18" s="187">
        <f>SUBTOTAL(9,BA14:BA17)</f>
        <v>3491</v>
      </c>
      <c r="BB18" s="187">
        <f>SUBTOTAL(9,BB14:BB17)</f>
        <v>1211</v>
      </c>
      <c r="BC18" s="187">
        <f>SUBTOTAL(9,BC14:BC17)</f>
        <v>661</v>
      </c>
      <c r="BD18" s="208">
        <f>IF(ISNUMBER(BA18/AZ18),BA18/AZ18," - ")</f>
        <v>1.0075036075036075</v>
      </c>
      <c r="BE18" s="209">
        <f>IF(ISNUMBER(BB18/BA18),BB18/BA18, " - ")</f>
        <v>0.34689200802062448</v>
      </c>
      <c r="BF18" s="209">
        <f>IF(ISNUMBER(BC18/BA18),BC18/BA18, " - ")</f>
        <v>0.18934402749928386</v>
      </c>
      <c r="BG18" s="210">
        <f>IF(ISNUMBER((AY18+AZ18)/BA18),(AY18+AZ18)/BA18," - ")</f>
        <v>1.3400171870524205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4022</v>
      </c>
      <c r="J19" s="134">
        <f t="shared" si="18"/>
        <v>8160</v>
      </c>
      <c r="K19" s="134">
        <f t="shared" si="18"/>
        <v>6781</v>
      </c>
      <c r="L19" s="134">
        <f t="shared" si="18"/>
        <v>6028</v>
      </c>
      <c r="M19" s="134">
        <f t="shared" si="18"/>
        <v>1445</v>
      </c>
      <c r="N19" s="134">
        <f t="shared" si="18"/>
        <v>3059</v>
      </c>
      <c r="O19" s="134">
        <f t="shared" si="18"/>
        <v>1376</v>
      </c>
      <c r="P19" s="134">
        <f t="shared" si="18"/>
        <v>1317</v>
      </c>
      <c r="Q19" s="134">
        <f t="shared" si="18"/>
        <v>1340</v>
      </c>
      <c r="R19" s="134">
        <f t="shared" si="18"/>
        <v>5715</v>
      </c>
      <c r="S19" s="134">
        <f t="shared" si="18"/>
        <v>4248</v>
      </c>
      <c r="T19" s="134">
        <f t="shared" si="18"/>
        <v>6856</v>
      </c>
      <c r="U19" s="134">
        <f t="shared" si="18"/>
        <v>7106</v>
      </c>
      <c r="V19" s="134">
        <f t="shared" si="18"/>
        <v>4022</v>
      </c>
      <c r="W19" s="134">
        <f t="shared" si="18"/>
        <v>1546</v>
      </c>
      <c r="X19" s="134">
        <f t="shared" si="18"/>
        <v>3127</v>
      </c>
      <c r="Y19" s="134">
        <f t="shared" si="18"/>
        <v>69</v>
      </c>
      <c r="Z19" s="134">
        <f t="shared" si="18"/>
        <v>232</v>
      </c>
      <c r="AA19" s="134">
        <f t="shared" si="18"/>
        <v>229</v>
      </c>
      <c r="AB19" s="134">
        <f t="shared" si="18"/>
        <v>89</v>
      </c>
      <c r="AC19" s="134">
        <f t="shared" si="18"/>
        <v>0</v>
      </c>
      <c r="AD19" s="134">
        <f t="shared" si="18"/>
        <v>0</v>
      </c>
      <c r="AE19" s="134">
        <f t="shared" si="18"/>
        <v>0</v>
      </c>
      <c r="AF19" s="134">
        <f t="shared" si="18"/>
        <v>0</v>
      </c>
      <c r="AG19" s="134">
        <f t="shared" si="18"/>
        <v>80</v>
      </c>
      <c r="AH19" s="134">
        <f t="shared" si="18"/>
        <v>307</v>
      </c>
      <c r="AI19" s="134">
        <f t="shared" si="18"/>
        <v>318</v>
      </c>
      <c r="AJ19" s="134">
        <f t="shared" si="18"/>
        <v>69</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4328</v>
      </c>
      <c r="AZ19" s="134">
        <f>SUBTOTAL(9,AZ9:AZ18)</f>
        <v>7163</v>
      </c>
      <c r="BA19" s="134">
        <f>SUBTOTAL(9,BA9:BA18)</f>
        <v>7424</v>
      </c>
      <c r="BB19" s="134">
        <f>SUBTOTAL(9,BB9:BB18)</f>
        <v>4091</v>
      </c>
      <c r="BC19" s="135">
        <f>SUBTOTAL(9,BC9:BC18)</f>
        <v>1783</v>
      </c>
      <c r="BD19" s="216">
        <f>IF(ISNUMBER(BA19/AZ19),BA19/AZ19," - ")</f>
        <v>1.0364372469635628</v>
      </c>
      <c r="BE19" s="213">
        <f>IF(ISNUMBER(BB19/BA19),BB19/BA19, " - ")</f>
        <v>0.55105064655172409</v>
      </c>
      <c r="BF19" s="213">
        <f>IF(ISNUMBER(BC19/BA19),BC19/BA19, " - ")</f>
        <v>0.24016702586206898</v>
      </c>
      <c r="BG19" s="135">
        <f>IF(ISNUMBER((AY19+AZ19)/BA19),(AY19+AZ19)/BA19," - ")</f>
        <v>1.5478178879310345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Oy4420mWfappudpfhS1jihPCWuK22jzlaaKPCsmpySVRoDx3bO2nR56fzvcf2EUjuMdwr45ORDWh5I7kKZHRg==" saltValue="IuylJ4QuNkKXHYWS56TJ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InLm9Zq3tqK6sWGqfCGfl0oC+qAraAFj83mlTqs7CxYlhrT8DG+L3CHDPFhe5Dw3Lk7aqPCDdLK4WWPAjthNA==" saltValue="wXwPeLHLEv4XPiH7P+ur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UTRERA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4</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0.25</v>
      </c>
      <c r="BH10" s="263">
        <f>IF(ISNUMBER(((Datos!L10/Datos!K10)*11)/factor_trimestre),((Datos!L10/Datos!K10)*11)/factor_trimestre," - ")</f>
        <v>44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232</v>
      </c>
      <c r="O12" s="337"/>
      <c r="P12" s="337"/>
      <c r="Q12" s="229">
        <f>IF(ISNUMBER(Datos!P12),Datos!P12,0)</f>
        <v>1194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89</v>
      </c>
      <c r="AI12" s="337" t="str">
        <f>IF(ISNUMBER(Datos!CD12),Datos!CD12,"-")</f>
        <v>-</v>
      </c>
      <c r="AJ12" s="337" t="str">
        <f>IF(ISNUMBER(Datos!EN12),Datos!EN12," - ")</f>
        <v xml:space="preserve"> - </v>
      </c>
      <c r="AK12" s="337"/>
      <c r="AL12" s="482"/>
      <c r="AM12" s="338">
        <f>IF(ISNUMBER(Datos!R12),Datos!R12," - ")</f>
        <v>5471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806</v>
      </c>
      <c r="BD12" s="232">
        <f>IF(ISNUMBER(Datos!N12),Datos!N12," - ")</f>
        <v>1081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0.79769414835762453</v>
      </c>
      <c r="BH12" s="263">
        <f>IF(ISNUMBER(((IF(J_V="SI",Datos!L12/Datos!K12,(Datos!L12+Datos!AB12)/(Datos!K12+Datos!AA12)))*11)/factor_trimestre),((IF(J_V="SI",Datos!L12/Datos!K12,(Datos!L12+Datos!AB12)/(Datos!K12+Datos!AA12)))*11)/factor_trimestre," - ")</f>
        <v>12.850831742568857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-6.7175018155410313E-3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232</v>
      </c>
      <c r="O13" s="903">
        <f t="shared" si="0"/>
        <v>0</v>
      </c>
      <c r="P13" s="903">
        <f t="shared" si="0"/>
        <v>0</v>
      </c>
      <c r="Q13" s="902">
        <f t="shared" si="0"/>
        <v>1194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1231</v>
      </c>
      <c r="AD13" s="902">
        <f t="shared" si="1"/>
        <v>0</v>
      </c>
      <c r="AE13" s="902">
        <f t="shared" si="1"/>
        <v>0</v>
      </c>
      <c r="AF13" s="902">
        <f t="shared" si="1"/>
        <v>4</v>
      </c>
      <c r="AG13" s="902">
        <f t="shared" si="1"/>
        <v>0</v>
      </c>
      <c r="AH13" s="902">
        <f t="shared" si="1"/>
        <v>89</v>
      </c>
      <c r="AI13" s="902">
        <f t="shared" si="1"/>
        <v>0</v>
      </c>
      <c r="AJ13" s="902">
        <f t="shared" si="1"/>
        <v>0</v>
      </c>
      <c r="AK13" s="902">
        <f t="shared" si="1"/>
        <v>0</v>
      </c>
      <c r="AL13" s="902">
        <f t="shared" si="1"/>
        <v>0</v>
      </c>
      <c r="AM13" s="902">
        <f t="shared" si="1"/>
        <v>5473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806</v>
      </c>
      <c r="BD13" s="902">
        <f t="shared" si="1"/>
        <v>1081</v>
      </c>
      <c r="BE13" s="902">
        <f t="shared" si="1"/>
        <v>0</v>
      </c>
      <c r="BF13" s="902">
        <f t="shared" si="1"/>
        <v>0</v>
      </c>
      <c r="BG13" s="902">
        <f>IF(ISNUMBER(Datos!K13/Datos!J13),Datos!K13/Datos!J13," - ")</f>
        <v>0.7871366445410849</v>
      </c>
      <c r="BH13" s="906">
        <f>IF(ISNUMBER(((Datos!L13/Datos!K13)*11)/factor_trimestre),((Datos!L13/Datos!K13)*11)/factor_trimestre," - ")</f>
        <v>13.430939226519339</v>
      </c>
      <c r="BI13" s="902">
        <f>IF(ISNUMBER('Resol  Asuntos'!D13/NºAsuntos!G13),'Resol  Asuntos'!D13/NºAsuntos!G13," - ")</f>
        <v>0.21973827699018539</v>
      </c>
      <c r="BJ13" s="902" t="str">
        <f>IF(ISNUMBER(Datos!CI13/Datos!CJ13),Datos!CI13/Datos!CJ13," - ")</f>
        <v xml:space="preserve"> - </v>
      </c>
      <c r="BK13" s="902">
        <f>SUBTOTAL(9,BK8:BK12)</f>
        <v>0</v>
      </c>
      <c r="BL13" s="902">
        <f>IF(ISNUMBER((I13-AB13+L13)/(F13)),(I13-AB13+L13)/(F13)," - ")</f>
        <v>-1</v>
      </c>
      <c r="BM13" s="907">
        <f>SUBTOTAL(9,BM9:BM12)</f>
        <v>-6.7175018155410313E-3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1360</v>
      </c>
      <c r="G16" s="601">
        <f>IF(ISNUMBER(IF(D_I="SI",Datos!I16,Datos!I16+Datos!AC16)),IF(D_I="SI",Datos!I16,Datos!I16+Datos!AC16)," - ")</f>
        <v>1191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3104</v>
      </c>
      <c r="AC16" s="229">
        <f>IF(ISNUMBER(Datos!Q16),Datos!Q16," - ")</f>
        <v>109</v>
      </c>
      <c r="AD16" s="337"/>
      <c r="AE16" s="487"/>
      <c r="AF16" s="599">
        <f>IF(ISNUMBER(IF(D_I="SI",Datos!L16,Datos!L16+Datos!AF16)),IF(D_I="SI",Datos!L16,Datos!L16+Datos!AF16)," - ")</f>
        <v>1794</v>
      </c>
      <c r="AG16" s="337"/>
      <c r="AH16" s="337"/>
      <c r="AI16" s="337"/>
      <c r="AJ16" s="337"/>
      <c r="AK16" s="337"/>
      <c r="AL16" s="482"/>
      <c r="AM16" s="338">
        <f>IF(ISNUMBER(Datos!R16),Datos!R16," - ")</f>
        <v>242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537</v>
      </c>
      <c r="BD16" s="232">
        <f>IF(ISNUMBER(Datos!N16),Datos!N16," - ")</f>
        <v>1821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0.87733182589033354</v>
      </c>
      <c r="BH16" s="263">
        <f>IF(ISNUMBER(((IF(D_I="SI",Datos!L16/Datos!K16,(Datos!L16+Datos!AF16)/(Datos!K16+Datos!AE16)))*11)/factor_trimestre),((IF(D_I="SI",Datos!L16/Datos!K16,(Datos!L16+Datos!AF16)/(Datos!K16+Datos!AE16)))*11)/factor_trimestre," - ")</f>
        <v>6.3576030927835046</v>
      </c>
      <c r="BI16" s="246">
        <f>IF(ISNUMBER('Resol  Asuntos'!D16/NºAsuntos!G16),'Resol  Asuntos'!D16/NºAsuntos!G16," - ")</f>
        <v>0.17300257731958762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238</v>
      </c>
      <c r="AC17" s="229">
        <f>IF(ISNUMBER(Datos!Q17),Datos!Q17," - ")</f>
        <v>0</v>
      </c>
      <c r="AD17" s="337"/>
      <c r="AE17" s="487"/>
      <c r="AF17" s="335">
        <f>IF(ISNUMBER(Datos!L17),Datos!L17,"-")</f>
        <v>35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102</v>
      </c>
      <c r="BD17" s="232">
        <f>IF(ISNUMBER(Datos!N17),Datos!N17," - ")</f>
        <v>157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0.94071146245059289</v>
      </c>
      <c r="BH17" s="263">
        <f>IF(ISNUMBER(((IF(D_I="SI",Datos!L17/Datos!K17,(Datos!L17+Datos!AF17)/(Datos!K17+Datos!AE17)))*11)/factor_trimestre),((IF(D_I="SI",Datos!L17/Datos!K17,(Datos!L17+Datos!AF17)/(Datos!K17+Datos!AE17)))*11)/factor_trimestre," - ")</f>
        <v>1.6176470588235294</v>
      </c>
      <c r="BI17" s="246">
        <f>IF(ISNUMBER('Resol  Asuntos'!D17/NºAsuntos!G17),'Resol  Asuntos'!D17/NºAsuntos!G17," - ")</f>
        <v>0.42857142857142855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1360</v>
      </c>
      <c r="G18" s="901">
        <f>SUBTOTAL(9,G15:G17)</f>
        <v>1211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3342</v>
      </c>
      <c r="AC18" s="902">
        <f t="shared" si="4"/>
        <v>109</v>
      </c>
      <c r="AD18" s="902">
        <f t="shared" si="4"/>
        <v>0</v>
      </c>
      <c r="AE18" s="902">
        <f t="shared" si="4"/>
        <v>0</v>
      </c>
      <c r="AF18" s="902">
        <f t="shared" si="4"/>
        <v>1829</v>
      </c>
      <c r="AG18" s="902">
        <f t="shared" si="4"/>
        <v>0</v>
      </c>
      <c r="AH18" s="902">
        <f t="shared" si="4"/>
        <v>0</v>
      </c>
      <c r="AI18" s="902">
        <f t="shared" si="4"/>
        <v>0</v>
      </c>
      <c r="AJ18" s="902">
        <f t="shared" si="4"/>
        <v>0</v>
      </c>
      <c r="AK18" s="902">
        <f t="shared" si="4"/>
        <v>0</v>
      </c>
      <c r="AL18" s="902">
        <f t="shared" si="4"/>
        <v>0</v>
      </c>
      <c r="AM18" s="902">
        <f t="shared" si="4"/>
        <v>242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639</v>
      </c>
      <c r="BD18" s="902">
        <f t="shared" si="4"/>
        <v>1978</v>
      </c>
      <c r="BE18" s="902">
        <f t="shared" si="4"/>
        <v>0</v>
      </c>
      <c r="BF18" s="902">
        <f t="shared" si="4"/>
        <v>0</v>
      </c>
      <c r="BG18" s="902">
        <f>IF(ISNUMBER(Datos!K18/Datos!J18),Datos!K18/Datos!J18," - ")</f>
        <v>0.88156159324716432</v>
      </c>
      <c r="BH18" s="906">
        <f>IF(ISNUMBER(((Datos!L18/Datos!K18)*11)/factor_trimestre),((Datos!L18/Datos!K18)*11)/factor_trimestre," - ")</f>
        <v>6.0200478755236384</v>
      </c>
      <c r="BI18" s="902">
        <f>SUBTOTAL(9,BI15:BI17)</f>
        <v>0.60157400589101617</v>
      </c>
      <c r="BJ18" s="902">
        <f>SUBTOTAL(9,BJ15:BJ17)</f>
        <v>0</v>
      </c>
      <c r="BK18" s="902">
        <f>SUBTOTAL(9,BK15:BK17)</f>
        <v>0</v>
      </c>
      <c r="BL18" s="902">
        <f>IF(ISNUMBER((I18-AB18+L18)/(F18)),(I18-AB18+L18)/(F18)," - ")</f>
        <v>-2.4573529411764707</v>
      </c>
      <c r="BM18" s="908">
        <f>IF(ISNUMBER((Datos!P18-Datos!Q18)/(Datos!R18-Datos!P18+Datos!Q18)),(Datos!P18-Datos!Q18)/(Datos!R18-Datos!P18+Datos!Q18)," - ")</f>
        <v>6.1403508771929821E-2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1361</v>
      </c>
      <c r="G19" s="823">
        <f t="shared" si="6"/>
        <v>1212</v>
      </c>
      <c r="H19" s="825">
        <f t="shared" si="6"/>
        <v>0</v>
      </c>
      <c r="I19" s="823">
        <f t="shared" si="6"/>
        <v>0</v>
      </c>
      <c r="J19" s="825">
        <f t="shared" si="6"/>
        <v>0</v>
      </c>
      <c r="K19" s="825">
        <f t="shared" si="6"/>
        <v>0</v>
      </c>
      <c r="L19" s="884">
        <f t="shared" si="6"/>
        <v>0</v>
      </c>
      <c r="M19" s="884">
        <f t="shared" si="6"/>
        <v>0</v>
      </c>
      <c r="N19" s="884">
        <f t="shared" si="6"/>
        <v>232</v>
      </c>
      <c r="O19" s="884">
        <f t="shared" si="6"/>
        <v>0</v>
      </c>
      <c r="P19" s="884">
        <f t="shared" si="6"/>
        <v>0</v>
      </c>
      <c r="Q19" s="825">
        <f t="shared" si="6"/>
        <v>1317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3343</v>
      </c>
      <c r="AC19" s="824">
        <f t="shared" si="7"/>
        <v>1340</v>
      </c>
      <c r="AD19" s="824">
        <f t="shared" si="7"/>
        <v>0</v>
      </c>
      <c r="AE19" s="824">
        <f t="shared" si="7"/>
        <v>0</v>
      </c>
      <c r="AF19" s="831">
        <f t="shared" si="7"/>
        <v>1833</v>
      </c>
      <c r="AG19" s="831">
        <f t="shared" si="7"/>
        <v>0</v>
      </c>
      <c r="AH19" s="831">
        <f t="shared" si="7"/>
        <v>89</v>
      </c>
      <c r="AI19" s="831">
        <f t="shared" si="7"/>
        <v>0</v>
      </c>
      <c r="AJ19" s="824">
        <f t="shared" si="7"/>
        <v>0</v>
      </c>
      <c r="AK19" s="831">
        <f t="shared" si="7"/>
        <v>0</v>
      </c>
      <c r="AL19" s="831">
        <f t="shared" si="7"/>
        <v>0</v>
      </c>
      <c r="AM19" s="831">
        <f t="shared" si="7"/>
        <v>5715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1445</v>
      </c>
      <c r="BD19" s="823">
        <f t="shared" si="7"/>
        <v>3059</v>
      </c>
      <c r="BE19" s="823">
        <f t="shared" si="7"/>
        <v>0</v>
      </c>
      <c r="BF19" s="833">
        <f t="shared" si="7"/>
        <v>0</v>
      </c>
      <c r="BG19" s="918">
        <f>IF(ISNUMBER(Datos!K19/Datos!J19),Datos!K19/Datos!J19," - ")</f>
        <v>0.83100490196078436</v>
      </c>
      <c r="BH19" s="918">
        <f>IF(ISNUMBER(((Datos!L19/Datos!K19)*11)/factor_trimestre),((Datos!L19/Datos!K19)*11)/factor_trimestre," - ")</f>
        <v>9.7784987464975668</v>
      </c>
      <c r="BI19" s="816">
        <f>IF(ISNUMBER(Datos!J19/Datos!I19),Datos!J19/Datos!I19," - ")</f>
        <v>2.0288413724515166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-2.4562821454812638</v>
      </c>
      <c r="BM19" s="892">
        <f>IF(ISNUMBER((Datos!P19-Datos!Q19+R19)/(Datos!R19-Datos!P19+Datos!Q19-R19)),(Datos!P19-Datos!Q19+R19)/(Datos!R19-Datos!P19+Datos!Q19-R19)," - ")</f>
        <v>-4.008365284071105E-3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784.61901582870144</v>
      </c>
      <c r="G21" s="555">
        <f>IF(ISNUMBER(STDEV(G8:G18)),STDEV(G8:G18),"-")</f>
        <v>653.882405329888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1726.2609014862151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350.52798271559811</v>
      </c>
      <c r="BD21" s="554"/>
      <c r="BE21" s="554">
        <f>IF(ISNUMBER(STDEV(BE8:BE18)),STDEV(BE8:BE18),"-")</f>
        <v>0</v>
      </c>
      <c r="BF21" s="559">
        <f>IF(ISNUMBER(STDEV(BF8:BF18)),STDEV(BF8:BF18),"-")</f>
        <v>0</v>
      </c>
      <c r="BG21" s="778">
        <f>IF(ISNUMBER(STDEV(BG8:BG18)),STDEV(BG8:BG18),"-")</f>
        <v>0.25430255005463254</v>
      </c>
      <c r="BH21" s="779">
        <f>IF(ISNUMBER(STDEV(BH8:BH18)),STDEV(BH8:BH18),"-")</f>
        <v>15.343012442580623</v>
      </c>
      <c r="BI21" s="252">
        <f>IF(ISNUMBER(STDEV(BI8:BI18)),STDEV(BI8:BI18),"-")</f>
        <v>0.19801364295704552</v>
      </c>
      <c r="BJ21" s="233" t="str">
        <f>IF(ISNUMBER(BL21/BM21),BL21/BM21," - ")</f>
        <v xml:space="preserve"> - </v>
      </c>
      <c r="BK21" s="578"/>
      <c r="BL21" s="562">
        <f>IF(ISNUMBER(STDEV(BL8:BL18)),STDEV(BL8:BL18),"-")</f>
        <v>1.0305041472880421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f39T3iMrW7dDc6kzk/4K0fSMbSVTdocNQVAYikSCy3DgukCcQBwJGPsh5a1egUCxAUWGrOgFk08q1G5BTh+EUw==" saltValue="rtZsyQl0rmS/IU0akyGr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UTRERA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4</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1194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1231</v>
      </c>
      <c r="AA12" s="335" t="str">
        <f>IF(ISNUMBER(IF(J_V="SI",Datos!L12,Datos!L12+Datos!AB12)-IF(Monitorios="SI",Datos!CD12,0)),
                          IF(J_V="SI",Datos!L12,Datos!L12+Datos!AB12)-IF(Monitorios="SI",Datos!CD12,0),
                          " - ")</f>
        <v xml:space="preserve"> - </v>
      </c>
      <c r="AB12" s="337"/>
      <c r="AC12" s="337"/>
      <c r="AD12" s="487"/>
      <c r="AE12" s="487">
        <f>IF(ISNUMBER(Datos!R12),Datos!R12," - ")</f>
        <v>5471</v>
      </c>
      <c r="AF12" s="232" t="str">
        <f>IF(ISNUMBER(Datos!BV12),Datos!BV12," - ")</f>
        <v xml:space="preserve"> - </v>
      </c>
      <c r="AG12" s="228" t="str">
        <f>IF(ISNUMBER(Datos!DV12),Datos!DV12," - ")</f>
        <v xml:space="preserve"> - </v>
      </c>
      <c r="AH12" s="301"/>
      <c r="AI12" s="230"/>
      <c r="AJ12" s="228">
        <f>IF(ISNUMBER(Datos!M12),Datos!M12," - ")</f>
        <v>806</v>
      </c>
      <c r="AK12" s="232">
        <f>IF(ISNUMBER(Datos!N12),Datos!N12," - ")</f>
        <v>1081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12.850831742568857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-6.7175018155410313E-3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1194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1231</v>
      </c>
      <c r="AA13" s="903">
        <f t="shared" si="2"/>
        <v>4</v>
      </c>
      <c r="AB13" s="903">
        <f t="shared" si="2"/>
        <v>0</v>
      </c>
      <c r="AC13" s="903">
        <f t="shared" si="2"/>
        <v>0</v>
      </c>
      <c r="AD13" s="903">
        <f t="shared" si="2"/>
        <v>0</v>
      </c>
      <c r="AE13" s="903">
        <f t="shared" si="2"/>
        <v>5473</v>
      </c>
      <c r="AF13" s="911">
        <f t="shared" si="2"/>
        <v>0</v>
      </c>
      <c r="AG13" s="911">
        <f t="shared" si="2"/>
        <v>0</v>
      </c>
      <c r="AH13" s="911">
        <f t="shared" si="2"/>
        <v>0</v>
      </c>
      <c r="AI13" s="911">
        <f t="shared" si="2"/>
        <v>0</v>
      </c>
      <c r="AJ13" s="911">
        <f t="shared" si="2"/>
        <v>806</v>
      </c>
      <c r="AK13" s="911">
        <f t="shared" si="2"/>
        <v>1081</v>
      </c>
      <c r="AL13" s="911">
        <f t="shared" si="2"/>
        <v>0</v>
      </c>
      <c r="AM13" s="911">
        <f t="shared" si="2"/>
        <v>0</v>
      </c>
      <c r="AN13" s="911">
        <f t="shared" si="2"/>
        <v>0</v>
      </c>
      <c r="AO13" s="907">
        <f>IF(ISNUMBER(((NºAsuntos!I13/NºAsuntos!G13)*11)/factor_trimestre),((NºAsuntos!I13/NºAsuntos!G13)*11)/factor_trimestre," - ")</f>
        <v>12.859323882224647</v>
      </c>
      <c r="AP13" s="913" t="str">
        <f>IF(ISNUMBER(Datos!CI13/Datos!CJ13),Datos!CI13/Datos!CJ13," - ")</f>
        <v xml:space="preserve"> - </v>
      </c>
      <c r="AQ13" s="931">
        <f t="shared" ref="AQ13:AV13" si="3">SUBTOTAL(9,AQ9:AQ12)</f>
        <v>0</v>
      </c>
      <c r="AR13" s="931">
        <f t="shared" si="3"/>
        <v>-6.7175018155410313E-3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1360</v>
      </c>
      <c r="G16" s="228">
        <f>IF(ISNUMBER(IF(D_I="SI",Datos!I16,Datos!I16+Datos!AC16)),IF(D_I="SI",Datos!I16,Datos!I16+Datos!AC16)," - ")</f>
        <v>1191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3104</v>
      </c>
      <c r="Z16" s="622">
        <f>IF(ISNUMBER(Datos!Q16),Datos!Q16," - ")</f>
        <v>109</v>
      </c>
      <c r="AA16" s="335">
        <f>IF(ISNUMBER(IF(D_I="SI",Datos!L16,Datos!L16+Datos!AF16)),IF(D_I="SI",Datos!L16,Datos!L16+Datos!AF16)," - ")</f>
        <v>1794</v>
      </c>
      <c r="AB16" s="337"/>
      <c r="AC16" s="337"/>
      <c r="AD16" s="487"/>
      <c r="AE16" s="487">
        <f>IF(ISNUMBER(Datos!R16),Datos!R16," - ")</f>
        <v>242</v>
      </c>
      <c r="AF16" s="232" t="str">
        <f>IF(ISNUMBER(Datos!BV16),Datos!BV16," - ")</f>
        <v xml:space="preserve"> - </v>
      </c>
      <c r="AG16" s="228"/>
      <c r="AH16" s="301"/>
      <c r="AI16" s="230"/>
      <c r="AJ16" s="228">
        <f>IF(ISNUMBER(Datos!M16),Datos!M16," - ")</f>
        <v>537</v>
      </c>
      <c r="AK16" s="232">
        <f>IF(ISNUMBER(Datos!N16),Datos!N16," - ")</f>
        <v>1821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6.3576030927835046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238</v>
      </c>
      <c r="Z17" s="622">
        <f>IF(ISNUMBER(Datos!Q17),Datos!Q17," - ")</f>
        <v>0</v>
      </c>
      <c r="AA17" s="335">
        <f>IF(ISNUMBER(Datos!L17),Datos!L17,"-")</f>
        <v>35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102</v>
      </c>
      <c r="AK17" s="232">
        <f>IF(ISNUMBER(Datos!N17),Datos!N17," - ")</f>
        <v>157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1.6176470588235294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1360</v>
      </c>
      <c r="G18" s="901">
        <f>SUBTOTAL(9,G15:G17)</f>
        <v>1211</v>
      </c>
      <c r="H18" s="935">
        <f>SUBTOTAL(9,H15:H17)</f>
        <v>0</v>
      </c>
      <c r="I18" s="914">
        <f>SUBTOTAL(9,I15:I17)</f>
        <v>0</v>
      </c>
      <c r="J18" s="870">
        <f>SUBTOTAL(9,J14:J17)</f>
        <v>0</v>
      </c>
      <c r="K18" s="935">
        <f t="shared" ref="K18:S18" si="4">SUBTOTAL(9,K15:K17)</f>
        <v>0</v>
      </c>
      <c r="L18" s="935">
        <f t="shared" si="4"/>
        <v>0</v>
      </c>
      <c r="M18" s="935">
        <f t="shared" si="4"/>
        <v>0</v>
      </c>
      <c r="N18" s="935">
        <f t="shared" si="4"/>
        <v>123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3342</v>
      </c>
      <c r="Z18" s="935">
        <f t="shared" si="5"/>
        <v>109</v>
      </c>
      <c r="AA18" s="935">
        <f t="shared" si="5"/>
        <v>1829</v>
      </c>
      <c r="AB18" s="935">
        <f t="shared" si="5"/>
        <v>0</v>
      </c>
      <c r="AC18" s="935">
        <f t="shared" si="5"/>
        <v>0</v>
      </c>
      <c r="AD18" s="935">
        <f t="shared" si="5"/>
        <v>0</v>
      </c>
      <c r="AE18" s="935">
        <f t="shared" si="5"/>
        <v>242</v>
      </c>
      <c r="AF18" s="935">
        <f t="shared" si="5"/>
        <v>0</v>
      </c>
      <c r="AG18" s="935">
        <f t="shared" si="5"/>
        <v>0</v>
      </c>
      <c r="AH18" s="935">
        <f t="shared" si="5"/>
        <v>0</v>
      </c>
      <c r="AI18" s="935">
        <f t="shared" si="5"/>
        <v>0</v>
      </c>
      <c r="AJ18" s="935">
        <f t="shared" si="5"/>
        <v>639</v>
      </c>
      <c r="AK18" s="935">
        <f t="shared" si="5"/>
        <v>1978</v>
      </c>
      <c r="AL18" s="935">
        <f t="shared" si="5"/>
        <v>0</v>
      </c>
      <c r="AM18" s="935">
        <f t="shared" si="5"/>
        <v>0</v>
      </c>
      <c r="AN18" s="935">
        <f t="shared" si="5"/>
        <v>0</v>
      </c>
      <c r="AO18" s="937">
        <f>IF(ISNUMBER(((NºAsuntos!I18/NºAsuntos!G18)*11)/factor_trimestre),((NºAsuntos!I18/NºAsuntos!G18)*11)/factor_trimestre," - ")</f>
        <v>6.0200478755236384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1361</v>
      </c>
      <c r="G19" s="823">
        <f t="shared" si="7"/>
        <v>1212</v>
      </c>
      <c r="H19" s="824">
        <f t="shared" si="7"/>
        <v>0</v>
      </c>
      <c r="I19" s="823">
        <f t="shared" si="7"/>
        <v>0</v>
      </c>
      <c r="J19" s="825">
        <f t="shared" si="7"/>
        <v>0</v>
      </c>
      <c r="K19" s="823">
        <f t="shared" si="7"/>
        <v>0</v>
      </c>
      <c r="L19" s="826">
        <f t="shared" si="7"/>
        <v>0</v>
      </c>
      <c r="M19" s="823">
        <f t="shared" si="7"/>
        <v>0</v>
      </c>
      <c r="N19" s="824">
        <f t="shared" si="7"/>
        <v>1317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3343</v>
      </c>
      <c r="Z19" s="830">
        <f t="shared" si="8"/>
        <v>1340</v>
      </c>
      <c r="AA19" s="831">
        <f t="shared" si="8"/>
        <v>1833</v>
      </c>
      <c r="AB19" s="831">
        <f t="shared" si="8"/>
        <v>0</v>
      </c>
      <c r="AC19" s="831">
        <f t="shared" si="8"/>
        <v>0</v>
      </c>
      <c r="AD19" s="832">
        <f t="shared" si="8"/>
        <v>0</v>
      </c>
      <c r="AE19" s="832">
        <f t="shared" si="8"/>
        <v>5715</v>
      </c>
      <c r="AF19" s="833">
        <f t="shared" si="8"/>
        <v>0</v>
      </c>
      <c r="AG19" s="834">
        <f t="shared" si="8"/>
        <v>0</v>
      </c>
      <c r="AH19" s="835">
        <f t="shared" si="8"/>
        <v>0</v>
      </c>
      <c r="AI19" s="833">
        <f t="shared" si="8"/>
        <v>0</v>
      </c>
      <c r="AJ19" s="823">
        <f t="shared" si="8"/>
        <v>1445</v>
      </c>
      <c r="AK19" s="823">
        <f t="shared" si="8"/>
        <v>3059</v>
      </c>
      <c r="AL19" s="823">
        <f t="shared" si="8"/>
        <v>0</v>
      </c>
      <c r="AM19" s="836">
        <f t="shared" si="8"/>
        <v>0</v>
      </c>
      <c r="AN19" s="826">
        <f>IF(ISNUMBER(Datos!K19/Datos!J19),Datos!K19/Datos!J19," - ")</f>
        <v>0.83100490196078436</v>
      </c>
      <c r="AO19" s="826">
        <f>IF(ISNUMBER(FIND("06",Criterios!A8,1)),(IF(ISNUMBER(((Datos!R19/Datos!Q19)*11)/factor_trimestre),((Datos!R19/Datos!Q19)*11)/factor_trimestre," - ")),(IF(ISNUMBER(((Datos!L19/Datos!K19)*11)/factor_trimestre),((Datos!L19/Datos!K19)*11)/factor_trimestre," - ")))</f>
        <v>9.7784987464975668</v>
      </c>
      <c r="AP19" s="837" t="str">
        <f>IF(ISNUMBER(Datos!CI19/Datos!CJ19),Datos!CI19/Datos!CJ19," - ")</f>
        <v xml:space="preserve"> - </v>
      </c>
      <c r="AQ19" s="837">
        <f>IF(OR(ISNUMBER(FIND("01",Criterios!A8,1)),ISNUMBER(FIND("02",Criterios!A8,1)),ISNUMBER(FIND("03",Criterios!A8,1)),ISNUMBER(FIND("04",Criterios!A8,1))),(J19-Y19+K19)/(F19-K19),(I19-Y19+K19)/(F19-K19))</f>
        <v>-2.4562821454812638</v>
      </c>
      <c r="AR19" s="837">
        <f>IF(ISNUMBER((Datos!P19-Datos!Q19+O19)/(Datos!R19-Datos!P19+Datos!Q19-O19)),(Datos!P19-Datos!Q19+O19)/(Datos!R19-Datos!P19+Datos!Q19-O19)," - ")</f>
        <v>-4.008365284071105E-3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784.61901582870144</v>
      </c>
      <c r="G21" s="555">
        <f>IF(ISNUMBER(STDEV(G8:G18)),STDEV(G8:G18),"-")</f>
        <v>653.882405329888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350.52798271559811</v>
      </c>
      <c r="AK21" s="255"/>
      <c r="AL21" s="255">
        <f>IF(ISNUMBER(STDEV(AL8:AL18)),STDEV(AL8:AL18),"-")</f>
        <v>0</v>
      </c>
      <c r="AM21" s="257">
        <f>IF(ISNUMBER(STDEV(AM8:AM18)),STDEV(AM8:AM18),"-")</f>
        <v>0</v>
      </c>
      <c r="AN21" s="542">
        <f>IF(ISNUMBER(STDEV(AN8:AN18)),STDEV(AN8:AN18),"-")</f>
        <v>0</v>
      </c>
      <c r="AO21" s="543">
        <f>IF(ISNUMBER(STDEV(AO8:AO18)),STDEV(AO8:AO18),"-")</f>
        <v>15.34937002520897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SW9QNKkSHbp9kfmL17KonncYiyy7OzZ0Ci6zpslUAjtxr7/pIs7Ok4n/X0u2zDcTNul2KDABUAeI0IhANaOzlQ==" saltValue="je9ukUWP6+0ELTFwVyw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HOWQDdilgAO6sfJHXmbJaje/g1NcipZlBe6rnB1xqHvL1e6/pJqI8wHsJ5xGcQJfUWdHhxayIJHfvolEm8AYQ==" saltValue="/WH5n+AL72uNAKSkeTG3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Wc4o4JHnH7VXU1PY2uPW+M5YHKstKIi7TUwQ8kbbX2ZXUltrCproerrVgI+xkoHSxyQdQcJmcepFZ5DieIkjw==" saltValue="v+D5pwOVCUdzKBuMG6rN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UTRERA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0.21973827699018539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0.15537842574600799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1SKXeGBOMJ9FXatjQbNVlOaVUbbrhgNG+jOZWzYJKlEP6y1CgsAQfRIdenBkkSxJ/5AXtthC5gxSbRHz1pbig==" saltValue="Ent8slB5jwnT17f1/4Qs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t7RMO3YEWtHNsnmEA4smLQMU5DvVrgIYLJvq50inEggC2nCezloQ4KZkTdXTzqP8UcH5Tlldn4dc3PE3mSEiw==" saltValue="+aaL9I2RFPQg2PIGUebe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UTRERA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4</v>
      </c>
      <c r="F10" s="407">
        <f>IF(ISNUMBER(E10/B10),E10/B10," - ")</f>
        <v>4</v>
      </c>
      <c r="G10" s="406">
        <f>IF(ISNUMBER(Datos!K10),Datos!K10," - ")</f>
        <v>1</v>
      </c>
      <c r="H10" s="407">
        <f>IF(ISNUMBER(G10/B10),G10/B10," - ")</f>
        <v>1</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2879</v>
      </c>
      <c r="D12" s="407">
        <f>IF(ISNUMBER(C12/Datos!BH12),C12/Datos!BH12," - ")</f>
        <v>719.75</v>
      </c>
      <c r="E12" s="406">
        <f>IF(ISNUMBER(IF(J_V="SI",Datos!J12,Datos!J12+Datos!Z12)),IF(J_V="SI",Datos!J12,Datos!J12+Datos!Z12)," - ")</f>
        <v>4597</v>
      </c>
      <c r="F12" s="407">
        <f>IF(ISNUMBER(E12/B12),E12/B12," - ")</f>
        <v>1149.25</v>
      </c>
      <c r="G12" s="406">
        <f>IF(ISNUMBER(IF(J_V="SI",Datos!K12,Datos!K12+Datos!AA12)),IF(J_V="SI",Datos!K12,Datos!K12+Datos!AA12)," - ")</f>
        <v>3667</v>
      </c>
      <c r="H12" s="407">
        <f>IF(ISNUMBER(G12/B12),G12/B12," - ")</f>
        <v>916.75</v>
      </c>
      <c r="I12" s="406">
        <f>IF(ISNUMBER(IF(J_V="SI",Datos!L12,Datos!L12+Datos!AB12)),IF(J_V="SI",Datos!L12,Datos!L12+Datos!AB12)," - ")</f>
        <v>4284</v>
      </c>
      <c r="J12" s="407">
        <f>IF(ISNUMBER(I12/B12),I12/B12," - ")</f>
        <v>1071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2880</v>
      </c>
      <c r="D13" s="853" t="str">
        <f>IF(ISNUMBER(C13/Datos!BI13),C13/Datos!BI13," - ")</f>
        <v xml:space="preserve"> - </v>
      </c>
      <c r="E13" s="852">
        <f>SUBTOTAL(9,E8:E12)</f>
        <v>4601</v>
      </c>
      <c r="F13" s="853">
        <f>IF(ISNUMBER(E13/B13),E13/B13," - ")</f>
        <v>1150.25</v>
      </c>
      <c r="G13" s="852">
        <f>SUBTOTAL(9,G8:G12)</f>
        <v>3668</v>
      </c>
      <c r="H13" s="853">
        <f>IF(ISNUMBER(G13/B13),G13/B13," - ")</f>
        <v>917</v>
      </c>
      <c r="I13" s="852">
        <f>SUBTOTAL(9,I8:I12)</f>
        <v>4288</v>
      </c>
      <c r="J13" s="853">
        <f>IF(ISNUMBER(I13/B13),I13/B13," - ")</f>
        <v>1072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1191</v>
      </c>
      <c r="D16" s="407">
        <f>IF(ISNUMBER(C16/Datos!BH16),C16/Datos!BH16," - ")</f>
        <v>297.75</v>
      </c>
      <c r="E16" s="406">
        <f>IF(ISNUMBER(IF(D_I="SI",Datos!J16,Datos!J16+Datos!AD16)),IF(D_I="SI",Datos!J16,Datos!J16+Datos!AD16)," - ")</f>
        <v>3538</v>
      </c>
      <c r="F16" s="407">
        <f>IF(ISNUMBER(E16/B16),E16/B16," - ")</f>
        <v>884.5</v>
      </c>
      <c r="G16" s="406">
        <f>IF(ISNUMBER(IF(D_I="SI",Datos!K16,Datos!K16+Datos!AE16)),IF(D_I="SI",Datos!K16,Datos!K16+Datos!AE16)," - ")</f>
        <v>3104</v>
      </c>
      <c r="H16" s="407">
        <f>IF(ISNUMBER(G16/B16),G16/B16," - ")</f>
        <v>776</v>
      </c>
      <c r="I16" s="406">
        <f>IF(ISNUMBER(IF(D_I="SI",Datos!L16,Datos!L16+Datos!AF16)),IF(D_I="SI",Datos!L16,Datos!L16+Datos!AF16)," - ")</f>
        <v>1794</v>
      </c>
      <c r="J16" s="407">
        <f>IF(ISNUMBER(I16/B16),I16/B16," - ")</f>
        <v>448.5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v>
      </c>
      <c r="D17" s="407">
        <f>IF(ISNUMBER(C17/Datos!BH17),C17/Datos!BH17," - ")</f>
        <v>20</v>
      </c>
      <c r="E17" s="406">
        <f>IF(ISNUMBER(IF(D_I="SI",Datos!J17,Datos!J17+Datos!AD17)),IF(D_I="SI",Datos!J17,Datos!J17+Datos!AD17)," - ")</f>
        <v>253</v>
      </c>
      <c r="F17" s="407">
        <f>IF(ISNUMBER(E17/B17),E17/B17," - ")</f>
        <v>253</v>
      </c>
      <c r="G17" s="406">
        <f>IF(ISNUMBER(IF(D_I="SI",Datos!K17,Datos!K17+Datos!AE17)),IF(D_I="SI",Datos!K17,Datos!K17+Datos!AE17)," - ")</f>
        <v>238</v>
      </c>
      <c r="H17" s="407">
        <f>IF(ISNUMBER(G17/B17),G17/B17," - ")</f>
        <v>238</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1211</v>
      </c>
      <c r="D18" s="853" t="str">
        <f>IF(ISNUMBER(C18/Datos!BI18),C18/Datos!BI18," - ")</f>
        <v xml:space="preserve"> - </v>
      </c>
      <c r="E18" s="852">
        <f>SUBTOTAL(9,E14:E17)</f>
        <v>3791</v>
      </c>
      <c r="F18" s="853">
        <f>IF(ISNUMBER(E18/B18),E18/B18," - ")</f>
        <v>947.75</v>
      </c>
      <c r="G18" s="852">
        <f>SUBTOTAL(9,G14:G17)</f>
        <v>3342</v>
      </c>
      <c r="H18" s="853">
        <f>IF(ISNUMBER(G18/B18),G18/B18," - ")</f>
        <v>835.5</v>
      </c>
      <c r="I18" s="852">
        <f>SUBTOTAL(9,I14:I17)</f>
        <v>1829</v>
      </c>
      <c r="J18" s="853">
        <f>IF(ISNUMBER(I18/B18),I18/B18," - ")</f>
        <v>457.25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4091</v>
      </c>
      <c r="D19" s="798" t="str">
        <f>IF(ISNUMBER(C19/Datos!BI19),C19/Datos!BI19," - ")</f>
        <v xml:space="preserve"> - </v>
      </c>
      <c r="E19" s="797">
        <f>SUBTOTAL(9,E9:E18)</f>
        <v>8392</v>
      </c>
      <c r="F19" s="798">
        <f>IF(ISNUMBER(E19/B19),E19/B19," - ")</f>
        <v>2098</v>
      </c>
      <c r="G19" s="797">
        <f>SUBTOTAL(9,G9:G18)</f>
        <v>7010</v>
      </c>
      <c r="H19" s="798">
        <f>IF(ISNUMBER(G19/B19),G19/B19," - ")</f>
        <v>1752.5</v>
      </c>
      <c r="I19" s="797">
        <f>SUBTOTAL(9,I9:I18)</f>
        <v>6117</v>
      </c>
      <c r="J19" s="798">
        <f>IF(ISNUMBER(I19/B19),I19/B19," - ")</f>
        <v>1529.25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D8akdrfo3kvtKLovSXPQ9z2Cshjt6qpH/vDbPiJ4MB4hYjhVAYjwxlLwgkwVcaWeKQFD/VD7nTnwCqUKFSs1rg==" saltValue="M6egjA07y6LmuS7exL9T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UTRERA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1194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5471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806</v>
      </c>
      <c r="AM12" s="693">
        <f>IF(ISNUMBER(Datos!N12+DatosP!N16),Datos!N12+DatosP!N16," - ")</f>
        <v>1081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12.850831742568857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-6.7175018155410313E-3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1194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1231</v>
      </c>
      <c r="AE13" s="942">
        <f t="shared" si="1"/>
        <v>0</v>
      </c>
      <c r="AF13" s="942">
        <f t="shared" si="1"/>
        <v>4</v>
      </c>
      <c r="AG13" s="942">
        <f t="shared" si="1"/>
        <v>0</v>
      </c>
      <c r="AH13" s="942">
        <f t="shared" si="1"/>
        <v>5471</v>
      </c>
      <c r="AI13" s="942">
        <f t="shared" si="1"/>
        <v>0</v>
      </c>
      <c r="AJ13" s="942">
        <f t="shared" si="1"/>
        <v>0</v>
      </c>
      <c r="AK13" s="942">
        <f t="shared" si="1"/>
        <v>0</v>
      </c>
      <c r="AL13" s="942">
        <f t="shared" si="1"/>
        <v>806</v>
      </c>
      <c r="AM13" s="942">
        <f t="shared" si="1"/>
        <v>1081</v>
      </c>
      <c r="AN13" s="942">
        <f t="shared" si="1"/>
        <v>0</v>
      </c>
      <c r="AO13" s="942">
        <f t="shared" si="1"/>
        <v>0</v>
      </c>
      <c r="AP13" s="947">
        <f>IF(ISNUMBER(((Datos!L13/Datos!K13)*11)/factor_trimestre),((Datos!L13/Datos!K13)*11)/factor_trimestre," - ")</f>
        <v>13.430939226519339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-6.7175018155410313E-3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6.0200478755236384</v>
      </c>
      <c r="AQ18" s="947">
        <f>IF(ISNUMBER(((Datos!M18/Datos!L18)*11)/factor_trimestre),((Datos!M18/Datos!L18)*11)/factor_trimestre," - ")</f>
        <v>3.8430836522689997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6.1403508771929821E-2</v>
      </c>
      <c r="AW18" s="949">
        <f>IF(ISNUMBER((Datos!Q18-Datos!R18)/(Datos!S18-Datos!Q18+Datos!R18)),(Datos!Q18-Datos!R18)/(Datos!S18-Datos!Q18+Datos!R18)," - ")</f>
        <v>-9.8811292719167901E-2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1194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1231</v>
      </c>
      <c r="AE19" s="960">
        <f t="shared" si="5"/>
        <v>0</v>
      </c>
      <c r="AF19" s="961">
        <f t="shared" si="5"/>
        <v>4</v>
      </c>
      <c r="AG19" s="961">
        <f t="shared" si="5"/>
        <v>0</v>
      </c>
      <c r="AH19" s="961">
        <f t="shared" si="5"/>
        <v>5471</v>
      </c>
      <c r="AI19" s="961">
        <f t="shared" si="5"/>
        <v>0</v>
      </c>
      <c r="AJ19" s="962">
        <f t="shared" si="5"/>
        <v>0</v>
      </c>
      <c r="AK19" s="962">
        <f t="shared" si="5"/>
        <v>0</v>
      </c>
      <c r="AL19" s="954">
        <f t="shared" si="5"/>
        <v>806</v>
      </c>
      <c r="AM19" s="954">
        <f t="shared" si="5"/>
        <v>1081</v>
      </c>
      <c r="AN19" s="954">
        <f t="shared" si="5"/>
        <v>0</v>
      </c>
      <c r="AO19" s="954">
        <f t="shared" si="5"/>
        <v>0</v>
      </c>
      <c r="AP19" s="954">
        <f>IF(ISNUMBER(((Datos!L19/Datos!K19)*11)/factor_trimestre),((Datos!L19/Datos!K19)*11)/factor_trimestre," - ")</f>
        <v>9.7784987464975668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-4.008365284071105E-3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465.34431696683839</v>
      </c>
      <c r="AM21" s="739"/>
      <c r="AN21" s="739">
        <f>IF(ISNUMBER(STDEV(AN8:AN18)),STDEV(AN8:AN18),"-")</f>
        <v>0</v>
      </c>
      <c r="AO21" s="745">
        <f>IF(ISNUMBER(STDEV(AO8:AO18)),STDEV(AO8:AO18),"-")</f>
        <v>0</v>
      </c>
      <c r="AP21" s="782">
        <f>IF(ISNUMBER(STDEV(AP8:AP18)),STDEV(AP8:AP18),"-")</f>
        <v>16.953692731052993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qTfjGV5RsEj2HzEzInCAD8kB6RKZkCIcrNqcyxMzgMVj+Sj3fmdrrtpZDVNJNegZZ4Yk3U72cvNhrfelC6Pnw==" saltValue="zSofhuFq5akNGW47IOy1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UTRERA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x36f/KTTOR3/WCKeEX8OK4k3rGsgA0OhSfSfiIzn9ACrg/tIz7bSSb1IUfpzS3gFFJ0Bq143PE4b6juodbZSlw==" saltValue="BORHMN5OTHzbwetKZxs0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UTRERA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806</v>
      </c>
      <c r="E12" s="407">
        <f t="shared" si="0"/>
        <v>201.5</v>
      </c>
      <c r="F12" s="406">
        <f>IF(ISNUMBER(Datos!N12),Datos!N12," - ")</f>
        <v>1081</v>
      </c>
      <c r="G12" s="407">
        <f t="shared" si="1"/>
        <v>270.25</v>
      </c>
      <c r="H12" s="406">
        <f>IF(ISNUMBER(Datos!O12),Datos!O12," - ")</f>
        <v>1376</v>
      </c>
      <c r="I12" s="407">
        <f t="shared" si="2"/>
        <v>344</v>
      </c>
    </row>
    <row r="13" spans="1:9" ht="14.25" thickTop="1" thickBot="1">
      <c r="A13" s="851" t="str">
        <f>Datos!A13</f>
        <v>TOTAL</v>
      </c>
      <c r="B13" s="852">
        <f>Datos!AO13</f>
        <v>5</v>
      </c>
      <c r="C13" s="854">
        <f>Datos!AR13</f>
        <v>4</v>
      </c>
      <c r="D13" s="852">
        <f>SUBTOTAL(9,D9:D12)</f>
        <v>806</v>
      </c>
      <c r="E13" s="853">
        <f t="shared" si="0"/>
        <v>161.19999999999999</v>
      </c>
      <c r="F13" s="852">
        <f>SUBTOTAL(9,F9:F12)</f>
        <v>1081</v>
      </c>
      <c r="G13" s="853">
        <f t="shared" si="1"/>
        <v>216.2</v>
      </c>
      <c r="H13" s="852">
        <f>SUBTOTAL(9,H9:H12)</f>
        <v>1376</v>
      </c>
      <c r="I13" s="853">
        <f>IF(ISNUMBER(H13/B13),H13/B13," - ")</f>
        <v>275.2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537</v>
      </c>
      <c r="E16" s="407">
        <f t="shared" si="3"/>
        <v>134.25</v>
      </c>
      <c r="F16" s="406">
        <f>IF(ISNUMBER(Datos!N16),Datos!N16," - ")</f>
        <v>1821</v>
      </c>
      <c r="G16" s="407">
        <f t="shared" si="4"/>
        <v>455.25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102</v>
      </c>
      <c r="E17" s="407">
        <f>IF(ISNUMBER(D17/B17),D17/B17," - ")</f>
        <v>102</v>
      </c>
      <c r="F17" s="406">
        <f>IF(ISNUMBER(Datos!N17),Datos!N17," - ")</f>
        <v>157</v>
      </c>
      <c r="G17" s="407">
        <f>IF(ISNUMBER(F17/B17),F17/B17," - ")</f>
        <v>157</v>
      </c>
      <c r="H17" s="406">
        <f>IF(ISNUMBER(Datos!O17),Datos!O17," - ")</f>
        <v>0</v>
      </c>
      <c r="I17" s="407">
        <f t="shared" si="5"/>
        <v>0</v>
      </c>
    </row>
    <row r="18" spans="1:9" ht="14.25" thickTop="1" thickBot="1">
      <c r="A18" s="851" t="str">
        <f>Datos!A18</f>
        <v>TOTAL</v>
      </c>
      <c r="B18" s="852">
        <f>Datos!AO18</f>
        <v>5</v>
      </c>
      <c r="C18" s="854">
        <f>Datos!AR18</f>
        <v>4</v>
      </c>
      <c r="D18" s="852">
        <f>SUBTOTAL(9,D15:D17)</f>
        <v>639</v>
      </c>
      <c r="E18" s="853">
        <f t="shared" si="3"/>
        <v>127.8</v>
      </c>
      <c r="F18" s="852">
        <f>SUBTOTAL(9,F15:F17)</f>
        <v>1978</v>
      </c>
      <c r="G18" s="853">
        <f t="shared" si="4"/>
        <v>395.6</v>
      </c>
      <c r="H18" s="852">
        <f>SUBTOTAL(9,H15:H17)</f>
        <v>0</v>
      </c>
      <c r="I18" s="853">
        <f>IF(ISNUMBER(H18/B18),H18/B18," - ")</f>
        <v>0</v>
      </c>
    </row>
    <row r="19" spans="1:9" ht="14.25" thickTop="1" thickBot="1">
      <c r="A19" s="796" t="str">
        <f>Datos!A19</f>
        <v>TOTAL JURISDICCIONES</v>
      </c>
      <c r="B19" s="797">
        <f>Datos!AP19</f>
        <v>4</v>
      </c>
      <c r="C19" s="797">
        <f>Datos!AR19</f>
        <v>4</v>
      </c>
      <c r="D19" s="797">
        <f>SUBTOTAL(9,D8:D18)</f>
        <v>1445</v>
      </c>
      <c r="E19" s="798">
        <f>IF(ISNUMBER(D19/B19),D19/B19," - ")</f>
        <v>361.25</v>
      </c>
      <c r="F19" s="797">
        <f>SUBTOTAL(9,F8:F18)</f>
        <v>3059</v>
      </c>
      <c r="G19" s="798">
        <f>IF(ISNUMBER(F19/B19),F19/B19," - ")</f>
        <v>764.75</v>
      </c>
      <c r="H19" s="797">
        <f>SUBTOTAL(9,H8:H18)</f>
        <v>1376</v>
      </c>
      <c r="I19" s="798">
        <f>IF(ISNUMBER(H19/B19),H19/B19," - ")</f>
        <v>344</v>
      </c>
    </row>
    <row r="22" spans="1:9">
      <c r="A22" s="394" t="str">
        <f>Criterios!A4</f>
        <v>Fecha Informe: 03 may. 2024</v>
      </c>
    </row>
    <row r="27" spans="1:9">
      <c r="A27" s="417"/>
    </row>
  </sheetData>
  <sheetProtection algorithmName="SHA-512" hashValue="u6JNJgGQhBe1E0P1Tg22xmDRT+wdd3fC79hW6Sbvjjh9387XlLyMkSfKs5VS9Siwp/Y3blP0gAiNs9ABbDNmBg==" saltValue="/mbp82exUYqMFiApnex6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UTRERA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1194</v>
      </c>
      <c r="C12" s="437">
        <f>IF(ISNUMBER(Datos!Q12),Datos!Q12," - ")</f>
        <v>1231</v>
      </c>
      <c r="D12" s="411">
        <f>IF(ISNUMBER(Datos!R12),Datos!R12," - ")</f>
        <v>5471</v>
      </c>
    </row>
    <row r="13" spans="1:4" ht="14.25" thickTop="1" thickBot="1">
      <c r="A13" s="851" t="str">
        <f>Datos!A13</f>
        <v>TOTAL</v>
      </c>
      <c r="B13" s="852">
        <f>SUBTOTAL(9,B9:B12)</f>
        <v>1194</v>
      </c>
      <c r="C13" s="856">
        <f>SUBTOTAL(9,C9:C12)</f>
        <v>1231</v>
      </c>
      <c r="D13" s="854">
        <f>SUBTOTAL(9,D9:D12)</f>
        <v>5473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123</v>
      </c>
      <c r="C16" s="437">
        <f>IF(ISNUMBER(Datos!Q16),Datos!Q16," - ")</f>
        <v>109</v>
      </c>
      <c r="D16" s="411">
        <f>IF(ISNUMBER(Datos!R16),Datos!R16," - ")</f>
        <v>242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123</v>
      </c>
      <c r="C18" s="856">
        <f>SUBTOTAL(9,C15:C17)</f>
        <v>109</v>
      </c>
      <c r="D18" s="854">
        <f>SUBTOTAL(9,D15:D17)</f>
        <v>242</v>
      </c>
    </row>
    <row r="19" spans="1:4" ht="16.5" customHeight="1" thickTop="1" thickBot="1">
      <c r="A19" s="796" t="str">
        <f>Datos!A19</f>
        <v>TOTAL JURISDICCIONES</v>
      </c>
      <c r="B19" s="801">
        <f>SUBTOTAL(9,B8:B18)</f>
        <v>1317</v>
      </c>
      <c r="C19" s="802">
        <f>SUBTOTAL(9,C8:C18)</f>
        <v>1340</v>
      </c>
      <c r="D19" s="803">
        <f>SUBTOTAL(9,D8:D18)</f>
        <v>5715</v>
      </c>
    </row>
    <row r="20" spans="1:4" ht="7.5" customHeight="1"/>
    <row r="21" spans="1:4" ht="6" customHeight="1"/>
    <row r="22" spans="1:4">
      <c r="A22" s="394" t="str">
        <f>Criterios!A4</f>
        <v>Fecha Informe: 03 may. 2024</v>
      </c>
    </row>
    <row r="27" spans="1:4">
      <c r="A27" s="417"/>
    </row>
  </sheetData>
  <sheetProtection algorithmName="SHA-512" hashValue="JTQ1QsLAnwQV3sELeoN4X7nUAWb1vAKjbztwGCCgC+WlV5MbnEbQIxP9gopKwW2yEMm6O5rAyz/CQ26l6//3qw==" saltValue="MLlrKhHRMCVn3i/oDIZc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UTRERA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v>
      </c>
      <c r="D10" s="459">
        <f>IF(ISNUMBER((Datos!K10-Datos!U10)/Datos!U10),(Datos!K10-Datos!U10)/Datos!U10," - ")</f>
        <v>-0.66666666666666663</v>
      </c>
      <c r="E10" s="459">
        <f>IF(ISNUMBER((Datos!L10-Datos!V10)/Datos!V10),(Datos!L10-Datos!V10)/Datos!V10," - ")</f>
        <v>3</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-0.66666666666666663</v>
      </c>
      <c r="I10" s="459">
        <f>IF(ISNUMBER(((NºAsuntos!I10/NºAsuntos!G10)-Datos!BE10)/Datos!BE10),((NºAsuntos!I10/NºAsuntos!G10)-Datos!BE10)/Datos!BE10," - ")</f>
        <v>11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2.7500000000000004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-7.5762439807383633E-2</v>
      </c>
      <c r="C12" s="459">
        <f>IF(ISNUMBER(
   IF(J_V="SI",(Datos!J12-Datos!T12)/Datos!T12,(Datos!J12+Datos!Z12-(Datos!T12+Datos!AH12))/(Datos!T12+Datos!AH12))
     ),IF(J_V="SI",(Datos!J12-Datos!T12)/Datos!T12,(Datos!J12+Datos!Z12-(Datos!T12+Datos!AH12))/(Datos!T12+Datos!AH12))," - ")</f>
        <v>0.24445046020573905</v>
      </c>
      <c r="D12" s="459">
        <f>IF(ISNUMBER(
   IF(J_V="SI",(Datos!K12-Datos!U12)/Datos!U12,(Datos!K12+Datos!AA12-(Datos!U12+Datos!AI12))/(Datos!U12+Datos!AI12))
     ),IF(J_V="SI",(Datos!K12-Datos!U12)/Datos!U12,(Datos!K12+Datos!AA12-(Datos!U12+Datos!AI12))/(Datos!U12+Datos!AI12))," - ")</f>
        <v>-6.6921119592875319E-2</v>
      </c>
      <c r="E12" s="459">
        <f>IF(ISNUMBER(
   IF(J_V="SI",(Datos!L12-Datos!V12)/Datos!V12,(Datos!L12+Datos!AB12-(Datos!V12+Datos!AJ12))/(Datos!V12+Datos!AJ12))
     ),IF(J_V="SI",(Datos!L12-Datos!V12)/Datos!V12,(Datos!L12+Datos!AB12-(Datos!V12+Datos!AJ12))/(Datos!V12+Datos!AJ12))," - ")</f>
        <v>0.48801667245571378</v>
      </c>
      <c r="F12" s="459">
        <f>IF(ISNUMBER((Datos!M12-Datos!W12)/Datos!W12),(Datos!M12-Datos!W12)/Datos!W12," - ")</f>
        <v>-8.9265536723163841E-2</v>
      </c>
      <c r="G12" s="460">
        <f>IF(ISNUMBER((Datos!N12-Datos!X12)/Datos!X12),(Datos!N12-Datos!X12)/Datos!X12," - ")</f>
        <v>-3.6541889483065956E-2</v>
      </c>
      <c r="H12" s="458">
        <f>IF(ISNUMBER(((NºAsuntos!G12/NºAsuntos!E12)-Datos!BD12)/Datos!BD12),((NºAsuntos!G12/NºAsuntos!E12)-Datos!BD12)/Datos!BD12," - ")</f>
        <v>-0.25020809566588681</v>
      </c>
      <c r="I12" s="459">
        <f>IF(ISNUMBER(((NºAsuntos!I12/NºAsuntos!G12)-Datos!BE12)/Datos!BE12),((NºAsuntos!I12/NºAsuntos!G12)-Datos!BE12)/Datos!BE12," - ")</f>
        <v>0.59473834817315396</v>
      </c>
      <c r="J12" s="464">
        <f>IF(ISNUMBER((('Resol  Asuntos'!D12/NºAsuntos!G12)-Datos!BF12)/Datos!BF12),(('Resol  Asuntos'!D12/NºAsuntos!G12)-Datos!BF12)/Datos!BF12," - ")</f>
        <v>-0.2301186037049622</v>
      </c>
      <c r="K12" s="465">
        <f>IF(ISNUMBER((((NºAsuntos!C12+NºAsuntos!E12)/NºAsuntos!G12)-Datos!BG12)/Datos!BG12),(((NºAsuntos!C12+NºAsuntos!E12)/NºAsuntos!G12)-Datos!BG12)/Datos!BG12," - ")</f>
        <v>0.17670500027574632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-7.5441412520064199E-2</v>
      </c>
      <c r="C13" s="858">
        <f>IF(ISNUMBER(
   IF(J_V="SI",(Datos!J13-Datos!T13)/Datos!T13,(Datos!J13+Datos!Z13-(Datos!T13+Datos!AH13))/(Datos!T13+Datos!AH13))
     ),IF(J_V="SI",(Datos!J13-Datos!T13)/Datos!T13,(Datos!J13+Datos!Z13-(Datos!T13+Datos!AH13))/(Datos!T13+Datos!AH13))," - ")</f>
        <v>0.2441860465116279</v>
      </c>
      <c r="D13" s="858">
        <f>IF(ISNUMBER(
   IF(J_V="SI",(Datos!K13-Datos!U13)/Datos!U13,(Datos!K13+Datos!AA13-(Datos!U13+Datos!AI13))/(Datos!U13+Datos!AI13))
     ),IF(J_V="SI",(Datos!K13-Datos!U13)/Datos!U13,(Datos!K13+Datos!AA13-(Datos!U13+Datos!AI13))/(Datos!U13+Datos!AI13))," - ")</f>
        <v>-6.7378591406051361E-2</v>
      </c>
      <c r="E13" s="858">
        <f>IF(ISNUMBER(
   IF(J_V="SI",(Datos!L13-Datos!V13)/Datos!V13,(Datos!L13+Datos!AB13-(Datos!V13+Datos!AJ13))/(Datos!V13+Datos!AJ13))
     ),IF(J_V="SI",(Datos!L13-Datos!V13)/Datos!V13,(Datos!L13+Datos!AB13-(Datos!V13+Datos!AJ13))/(Datos!V13+Datos!AJ13))," - ")</f>
        <v>0.48888888888888887</v>
      </c>
      <c r="F13" s="859">
        <f>IF(ISNUMBER((Datos!M13-Datos!W13)/Datos!W13),(Datos!M13-Datos!W13)/Datos!W13," - ")</f>
        <v>-8.9265536723163841E-2</v>
      </c>
      <c r="G13" s="860">
        <f>IF(ISNUMBER((Datos!N13-Datos!X13)/Datos!X13),(Datos!N13-Datos!X13)/Datos!X13," - ")</f>
        <v>-3.6541889483065956E-2</v>
      </c>
      <c r="H13" s="860">
        <f>IF(ISNUMBER(((NºAsuntos!G13/NºAsuntos!E13)-Datos!BD13)/Datos!BD13),((NºAsuntos!G13/NºAsuntos!E13)-Datos!BD13)/Datos!BD13," - ")</f>
        <v>-0.25041643795252738</v>
      </c>
      <c r="I13" s="860">
        <f>IF(ISNUMBER(((NºAsuntos!I13/NºAsuntos!G13)-Datos!BE13)/Datos!BE13),((NºAsuntos!I13/NºAsuntos!G13)-Datos!BE13)/Datos!BE13," - ")</f>
        <v>0.59645583424209392</v>
      </c>
      <c r="J13" s="860">
        <f>IF(ISNUMBER((('Resol  Asuntos'!D13/NºAsuntos!G13)-Datos!BF13)/Datos!BF13),(('Resol  Asuntos'!D13/NºAsuntos!G13)-Datos!BF13)/Datos!BF13," - ")</f>
        <v>-0.22974095953440368</v>
      </c>
      <c r="K13" s="860">
        <f>IF(ISNUMBER((((NºAsuntos!C13+NºAsuntos!E13)/NºAsuntos!G13)-Datos!BG13)/Datos!BG13),(((NºAsuntos!C13+NºAsuntos!E13)/NºAsuntos!G13)-Datos!BG13)/Datos!BG13," - ")</f>
        <v>0.17737791517627549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8.4033613445378156E-4</v>
      </c>
      <c r="C16" s="459">
        <f>IF(ISNUMBER(
   IF(D_I="SI",(Datos!J16-Datos!T16)/Datos!T16,(Datos!J16+Datos!AD16-(Datos!T16+Datos!AL16))/(Datos!T16+Datos!AL16))
     ),IF(D_I="SI",(Datos!J16-Datos!T16)/Datos!T16,(Datos!J16+Datos!AD16-(Datos!T16+Datos!AL16))/(Datos!T16+Datos!AL16))," - ")</f>
        <v>0.10700876095118898</v>
      </c>
      <c r="D16" s="459">
        <f>IF(ISNUMBER(
   IF(D_I="SI",(Datos!K16-Datos!U16)/Datos!U16,(Datos!K16+Datos!AE16-(Datos!U16+Datos!AM16))/(Datos!U16+Datos!AM16))
     ),IF(D_I="SI",(Datos!K16-Datos!U16)/Datos!U16,(Datos!K16+Datos!AE16-(Datos!U16+Datos!AM16))/(Datos!U16+Datos!AM16))," - ")</f>
        <v>-3.3021806853582553E-2</v>
      </c>
      <c r="E16" s="459">
        <f>IF(ISNUMBER(
   IF(D_I="SI",(Datos!L16-Datos!V16)/Datos!V16,(Datos!L16+Datos!AF16-(Datos!V16+Datos!AN16))/(Datos!V16+Datos!AN16))
     ),IF(D_I="SI",(Datos!L16-Datos!V16)/Datos!V16,(Datos!L16+Datos!AF16-(Datos!V16+Datos!AN16))/(Datos!V16+Datos!AN16))," - ")</f>
        <v>0.50629722921914355</v>
      </c>
      <c r="F16" s="459">
        <f>IF(ISNUMBER((Datos!M16-Datos!W16)/Datos!W16),(Datos!M16-Datos!W16)/Datos!W16," - ")</f>
        <v>-7.5731497418244406E-2</v>
      </c>
      <c r="G16" s="460">
        <f>IF(ISNUMBER((Datos!N16-Datos!X16)/Datos!X16),(Datos!N16-Datos!X16)/Datos!X16," - ")</f>
        <v>-1.2472885032537961E-2</v>
      </c>
      <c r="H16" s="458">
        <f>IF(ISNUMBER(((NºAsuntos!G16/NºAsuntos!E16)-Datos!BD16)/Datos!BD16),((NºAsuntos!G16/NºAsuntos!E16)-Datos!BD16)/Datos!BD16," - ")</f>
        <v>-0.12649454344376765</v>
      </c>
      <c r="I16" s="459">
        <f>IF(ISNUMBER(((NºAsuntos!I16/NºAsuntos!G16)-Datos!BE16)/Datos!BE16),((NºAsuntos!I16/NºAsuntos!G16)-Datos!BE16)/Datos!BE16," - ")</f>
        <v>0.55773650315510637</v>
      </c>
      <c r="J16" s="464">
        <f>IF(ISNUMBER((('Resol  Asuntos'!D16/NºAsuntos!G16)-Datos!BF16)/Datos!BF16),(('Resol  Asuntos'!D16/NºAsuntos!G16)-Datos!BF16)/Datos!BF16," - ")</f>
        <v>-4.4168204482140594E-2</v>
      </c>
      <c r="K16" s="465">
        <f>IF(ISNUMBER((((NºAsuntos!C16+NºAsuntos!E16)/NºAsuntos!G16)-Datos!BG16)/Datos!BG16),(((NºAsuntos!C16+NºAsuntos!E16)/NºAsuntos!G16)-Datos!BG16)/Datos!BG16," - ")</f>
        <v>0.11502346383290796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-0.13043478260869565</v>
      </c>
      <c r="C17" s="459">
        <f>IF(ISNUMBER(
   IF(D_I="SI",(Datos!J17-Datos!T17)/Datos!T17,(Datos!J17+Datos!AD17-(Datos!T17+Datos!AL17))/(Datos!T17+Datos!AL17))
     ),IF(D_I="SI",(Datos!J17-Datos!T17)/Datos!T17,(Datos!J17+Datos!AD17-(Datos!T17+Datos!AL17))/(Datos!T17+Datos!AL17))," - ")</f>
        <v>-5.9479553903345722E-2</v>
      </c>
      <c r="D17" s="459">
        <f>IF(ISNUMBER(
   IF(D_I="SI",(Datos!K17-Datos!U17)/Datos!U17,(Datos!K17+Datos!AE17-(Datos!U17+Datos!AM17))/(Datos!U17+Datos!AM17))
     ),IF(D_I="SI",(Datos!K17-Datos!U17)/Datos!U17,(Datos!K17+Datos!AE17-(Datos!U17+Datos!AM17))/(Datos!U17+Datos!AM17))," - ")</f>
        <v>-0.15302491103202848</v>
      </c>
      <c r="E17" s="459">
        <f>IF(ISNUMBER(
   IF(D_I="SI",(Datos!L17-Datos!V17)/Datos!V17,(Datos!L17+Datos!AF17-(Datos!V17+Datos!AN17))/(Datos!V17+Datos!AN17))
     ),IF(D_I="SI",(Datos!L17-Datos!V17)/Datos!V17,(Datos!L17+Datos!AF17-(Datos!V17+Datos!AN17))/(Datos!V17+Datos!AN17))," - ")</f>
        <v>0.75</v>
      </c>
      <c r="F17" s="459">
        <f>IF(ISNUMBER((Datos!M17-Datos!W17)/Datos!W17),(Datos!M17-Datos!W17)/Datos!W17," - ")</f>
        <v>0.27500000000000002</v>
      </c>
      <c r="G17" s="460">
        <f>IF(ISNUMBER((Datos!N17-Datos!X17)/Datos!X17),(Datos!N17-Datos!X17)/Datos!X17," - ")</f>
        <v>-2.4844720496894408E-2</v>
      </c>
      <c r="H17" s="458">
        <f>IF(ISNUMBER(((NºAsuntos!G17/NºAsuntos!E17)-Datos!BD17)/Datos!BD17),((NºAsuntos!G17/NºAsuntos!E17)-Datos!BD17)/Datos!BD17," - ")</f>
        <v>-9.9461269041959052E-2</v>
      </c>
      <c r="I17" s="459">
        <f>IF(ISNUMBER(((NºAsuntos!I17/NºAsuntos!G17)-Datos!BE17)/Datos!BE17),((NºAsuntos!I17/NºAsuntos!G17)-Datos!BE17)/Datos!BE17," - ")</f>
        <v>1.0661764705882351</v>
      </c>
      <c r="J17" s="464">
        <f>IF(ISNUMBER((('Resol  Asuntos'!D17/NºAsuntos!G17)-Datos!BF17)/Datos!BF17),(('Resol  Asuntos'!D17/NºAsuntos!G17)-Datos!BF17)/Datos!BF17," - ")</f>
        <v>0.50535714285714262</v>
      </c>
      <c r="K17" s="465">
        <f>IF(ISNUMBER((((NºAsuntos!C17+NºAsuntos!E17)/NºAsuntos!G17)-Datos!BG17)/Datos!BG17),(((NºAsuntos!C17+NºAsuntos!E17)/NºAsuntos!G17)-Datos!BG17)/Datos!BG17," - ")</f>
        <v>0.10384770346494757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-1.6488046166529267E-3</v>
      </c>
      <c r="C18" s="858">
        <f>IF(ISNUMBER(
   IF(Criterios!B14="SI",(Datos!J18-Datos!T18)/Datos!T18,(Datos!J18+Datos!AD18-(Datos!T18+Datos!AL18))/(Datos!T18+Datos!AL18))
     ),IF(Criterios!B14="SI",(Datos!J18-Datos!T18)/Datos!T18,(Datos!J18+Datos!AD18-(Datos!T18+Datos!AL18))/(Datos!T18+Datos!AL18))," - ")</f>
        <v>9.4083694083694089E-2</v>
      </c>
      <c r="D18" s="858">
        <f>IF(ISNUMBER(
   IF(Criterios!B14="SI",(Datos!K18-Datos!U18)/Datos!U18,(Datos!K18+Datos!AE18-(Datos!U18+Datos!AM18))/(Datos!U18+Datos!AM18))
     ),IF(Criterios!B14="SI",(Datos!K18-Datos!U18)/Datos!U18,(Datos!K18+Datos!AE18-(Datos!U18+Datos!AM18))/(Datos!U18+Datos!AM18))," - ")</f>
        <v>-4.2681180177599538E-2</v>
      </c>
      <c r="E18" s="858">
        <f>IF(ISNUMBER(
   IF(Criterios!B14="SI",(Datos!L18-Datos!V18)/Datos!V18,(Datos!L18+Datos!AF18-(Datos!V18+Datos!AN18))/(Datos!V18+Datos!AN18))
     ),IF(Criterios!B14="SI",(Datos!L18-Datos!V18)/Datos!V18,(Datos!L18+Datos!AF18-(Datos!V18+Datos!AN18))/(Datos!V18+Datos!AN18))," - ")</f>
        <v>0.51032204789430224</v>
      </c>
      <c r="F18" s="859">
        <f>IF(ISNUMBER((Datos!M18-Datos!W18)/Datos!W18),(Datos!M18-Datos!W18)/Datos!W18," - ")</f>
        <v>-3.3282904689863842E-2</v>
      </c>
      <c r="G18" s="860">
        <f>IF(ISNUMBER((Datos!N18-Datos!X18)/Datos!X18),(Datos!N18-Datos!X18)/Datos!X18," - ")</f>
        <v>-1.3466334164588529E-2</v>
      </c>
      <c r="H18" s="860">
        <f>IF(ISNUMBER(((NºAsuntos!G18/NºAsuntos!E18)-Datos!BD18)/Datos!BD18),((NºAsuntos!G18/NºAsuntos!E18)-Datos!BD18)/Datos!BD18," - ")</f>
        <v>-0.12500403305602276</v>
      </c>
      <c r="I18" s="860">
        <f>IF(ISNUMBER(((NºAsuntos!I18/NºAsuntos!G18)-Datos!BE18)/Datos!BE18),((NºAsuntos!I18/NºAsuntos!G18)-Datos!BE18)/Datos!BE18," - ")</f>
        <v>0.57765836900030187</v>
      </c>
      <c r="J18" s="860">
        <f>IF(ISNUMBER((('Resol  Asuntos'!D18/NºAsuntos!G18)-Datos!BF18)/Datos!BF18),(('Resol  Asuntos'!D18/NºAsuntos!G18)-Datos!BF18)/Datos!BF18," - ")</f>
        <v>9.8172889669915255E-3</v>
      </c>
      <c r="K18" s="860">
        <f>IF(ISNUMBER((((NºAsuntos!C18+NºAsuntos!E18)/NºAsuntos!G18)-Datos!BG18)/Datos!BG18),(((NºAsuntos!C18+NºAsuntos!E18)/NºAsuntos!G18)-Datos!BG18)/Datos!BG18," - ")</f>
        <v>0.11693235893645322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-5.4759704251386321E-2</v>
      </c>
      <c r="C19" s="805">
        <f>IF(ISNUMBER(
   IF(J_V="SI",(Datos!J19-Datos!T19)/Datos!T19,(Datos!J19+Datos!Z19-(Datos!T19+Datos!AH19))/(Datos!T19+Datos!AH19))
     ),IF(J_V="SI",(Datos!J19-Datos!T19)/Datos!T19,(Datos!J19+Datos!Z19-(Datos!T19+Datos!AH19))/(Datos!T19+Datos!AH19))," - ")</f>
        <v>0.17157615524221695</v>
      </c>
      <c r="D19" s="805">
        <f>IF(ISNUMBER(
   IF(J_V="SI",(Datos!K19-Datos!U19)/Datos!U19,(Datos!K19+Datos!AA19-(Datos!U19+Datos!AI19))/(Datos!U19+Datos!AI19))
     ),IF(J_V="SI",(Datos!K19-Datos!U19)/Datos!U19,(Datos!K19+Datos!AA19-(Datos!U19+Datos!AI19))/(Datos!U19+Datos!AI19))," - ")</f>
        <v>-5.5765086206896554E-2</v>
      </c>
      <c r="E19" s="805">
        <f>IF(ISNUMBER(
   IF(J_V="SI",(Datos!L19-Datos!V19)/Datos!V19,(Datos!L19+Datos!AB19-(Datos!V19+Datos!AJ19))/(Datos!V19+Datos!AJ19))
     ),IF(J_V="SI",(Datos!L19-Datos!V19)/Datos!V19,(Datos!L19+Datos!AB19-(Datos!V19+Datos!AJ19))/(Datos!V19+Datos!AJ19))," - ")</f>
        <v>0.49523343925690538</v>
      </c>
      <c r="F19" s="806">
        <f>IF(ISNUMBER((Datos!M19-Datos!W19)/Datos!W19),(Datos!M19-Datos!W19)/Datos!W19," - ")</f>
        <v>-6.5329883570504524E-2</v>
      </c>
      <c r="G19" s="807">
        <f>IF(ISNUMBER((Datos!N19-Datos!X19)/Datos!X19),(Datos!N19-Datos!X19)/Datos!X19," - ")</f>
        <v>-2.1746082507195393E-2</v>
      </c>
      <c r="H19" s="808">
        <f>IF(ISNUMBER((Tasas!B19-Datos!BD19)/Datos!BD19),(Tasas!B19-Datos!BD19)/Datos!BD19," - ")</f>
        <v>-0.19404734419685413</v>
      </c>
      <c r="I19" s="809">
        <f>IF(ISNUMBER((Tasas!C19-Datos!BE19)/Datos!BE19),(Tasas!C19-Datos!BE19)/Datos!BE19," - ")</f>
        <v>0.58353966519875411</v>
      </c>
      <c r="J19" s="810">
        <f>IF(ISNUMBER((Tasas!D19-Datos!BF19)/Datos!BF19),(Tasas!D19-Datos!BF19)/Datos!BF19," - ")</f>
        <v>-0.14170526361267416</v>
      </c>
      <c r="K19" s="810">
        <f>IF(ISNUMBER((Tasas!E19-Datos!BG19)/Datos!BG19),(Tasas!E19-Datos!BG19)/Datos!BG19," - ")</f>
        <v>0.15048534541266623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PSMtsJ7XI6efSgudi0rOBEKSAx76G3vSJ4eR3xFNcBJle8Ibt9k027wE2fopgCpANLjfzqTw3GZHaTstTigyQ==" saltValue="ehiATuCtwWC7amDjXONM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UTRERA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0.25</v>
      </c>
      <c r="C10" s="446">
        <f>IF(ISNUMBER(NºAsuntos!I10/NºAsuntos!G10),NºAsuntos!I10/NºAsuntos!G10," - ")</f>
        <v>4</v>
      </c>
      <c r="D10" s="447">
        <f>IF(ISNUMBER('Resol  Asuntos'!D10/NºAsuntos!G10),'Resol  Asuntos'!D10/NºAsuntos!G10," - ")</f>
        <v>0</v>
      </c>
      <c r="E10" s="448">
        <f>IF(ISNUMBER((NºAsuntos!C10+NºAsuntos!E10)/NºAsuntos!G10),(NºAsuntos!C10+NºAsuntos!E10)/NºAsuntos!G10," - ")</f>
        <v>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0.79769414835762453</v>
      </c>
      <c r="C12" s="446">
        <f>IF(ISNUMBER(NºAsuntos!I12/NºAsuntos!G12),NºAsuntos!I12/NºAsuntos!G12," - ")</f>
        <v>1.1682574311426235</v>
      </c>
      <c r="D12" s="447">
        <f>IF(ISNUMBER('Resol  Asuntos'!D12/NºAsuntos!G12),'Resol  Asuntos'!D12/NºAsuntos!G12," - ")</f>
        <v>0.21979820016362148</v>
      </c>
      <c r="E12" s="448">
        <f>IF(ISNUMBER((NºAsuntos!C12+NºAsuntos!E12)/NºAsuntos!G12),(NºAsuntos!C12+NºAsuntos!E12)/NºAsuntos!G12," - ")</f>
        <v>2.0387237523861468</v>
      </c>
      <c r="G12" s="466"/>
    </row>
    <row r="13" spans="1:7" ht="14.25" thickTop="1" thickBot="1">
      <c r="A13" s="851" t="str">
        <f>Datos!A13</f>
        <v>TOTAL</v>
      </c>
      <c r="B13" s="861">
        <f>IF(ISNUMBER(NºAsuntos!G13/NºAsuntos!E13),NºAsuntos!G13/NºAsuntos!E13," - ")</f>
        <v>0.79721799608780697</v>
      </c>
      <c r="C13" s="862">
        <f>IF(ISNUMBER(NºAsuntos!I13/NºAsuntos!G13),NºAsuntos!I13/NºAsuntos!G13," - ")</f>
        <v>1.1690294438386042</v>
      </c>
      <c r="D13" s="863">
        <f>IF(ISNUMBER('Resol  Asuntos'!D13/NºAsuntos!G13),'Resol  Asuntos'!D13/NºAsuntos!G13," - ")</f>
        <v>0.21973827699018539</v>
      </c>
      <c r="E13" s="864">
        <f>IF(ISNUMBER((NºAsuntos!C13+NºAsuntos!E13)/NºAsuntos!G13),(NºAsuntos!C13+NºAsuntos!E13)/NºAsuntos!G13," - ")</f>
        <v>2.0395310796074155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0.87733182589033354</v>
      </c>
      <c r="C16" s="446">
        <f>IF(ISNUMBER(NºAsuntos!I16/NºAsuntos!G16),NºAsuntos!I16/NºAsuntos!G16," - ")</f>
        <v>0.57796391752577314</v>
      </c>
      <c r="D16" s="447">
        <f>IF(ISNUMBER('Resol  Asuntos'!D16/NºAsuntos!G16),'Resol  Asuntos'!D16/NºAsuntos!G16," - ")</f>
        <v>0.17300257731958762</v>
      </c>
      <c r="E16" s="448">
        <f>IF(ISNUMBER((NºAsuntos!C16+NºAsuntos!E16)/NºAsuntos!G16),(NºAsuntos!C16+NºAsuntos!E16)/NºAsuntos!G16," - ")</f>
        <v>1.5235180412371134</v>
      </c>
      <c r="G16" s="466"/>
    </row>
    <row r="17" spans="1:7" ht="13.5" thickBot="1">
      <c r="A17" s="405" t="str">
        <f>Datos!A17</f>
        <v>Jdos. Violencia contra la mujer</v>
      </c>
      <c r="B17" s="445">
        <f>IF(ISNUMBER(NºAsuntos!G17/NºAsuntos!E17),NºAsuntos!G17/NºAsuntos!E17," - ")</f>
        <v>0.94071146245059289</v>
      </c>
      <c r="C17" s="446">
        <f>IF(ISNUMBER(NºAsuntos!I17/NºAsuntos!G17),NºAsuntos!I17/NºAsuntos!G17," - ")</f>
        <v>0.14705882352941177</v>
      </c>
      <c r="D17" s="447">
        <f>IF(ISNUMBER('Resol  Asuntos'!D17/NºAsuntos!G17),'Resol  Asuntos'!D17/NºAsuntos!G17," - ")</f>
        <v>0.42857142857142855</v>
      </c>
      <c r="E17" s="448">
        <f>IF(ISNUMBER((NºAsuntos!C17+NºAsuntos!E17)/NºAsuntos!G17),(NºAsuntos!C17+NºAsuntos!E17)/NºAsuntos!G17," - ")</f>
        <v>1.1470588235294117</v>
      </c>
      <c r="G17" s="466"/>
    </row>
    <row r="18" spans="1:7" ht="14.25" thickTop="1" thickBot="1">
      <c r="A18" s="851" t="str">
        <f>Datos!A18</f>
        <v>TOTAL</v>
      </c>
      <c r="B18" s="861">
        <f>IF(ISNUMBER(NºAsuntos!G18/NºAsuntos!E18),NºAsuntos!G18/NºAsuntos!E18," - ")</f>
        <v>0.88156159324716432</v>
      </c>
      <c r="C18" s="862">
        <f>IF(ISNUMBER(NºAsuntos!I18/NºAsuntos!G18),NºAsuntos!I18/NºAsuntos!G18," - ")</f>
        <v>0.54727707959305805</v>
      </c>
      <c r="D18" s="865">
        <f>IF(ISNUMBER('Resol  Asuntos'!D18/NºAsuntos!G18),'Resol  Asuntos'!D18/NºAsuntos!G18," - ")</f>
        <v>0.19120287253141832</v>
      </c>
      <c r="E18" s="864">
        <f>IF(ISNUMBER((NºAsuntos!C18+NºAsuntos!E18)/NºAsuntos!G18),(NºAsuntos!C18+NºAsuntos!E18)/NºAsuntos!G18," - ")</f>
        <v>1.4967085577498505</v>
      </c>
      <c r="G18" s="466"/>
    </row>
    <row r="19" spans="1:7" ht="15.75" customHeight="1" thickTop="1" thickBot="1">
      <c r="A19" s="796" t="str">
        <f>Datos!A19</f>
        <v>TOTAL JURISDICCIONES</v>
      </c>
      <c r="B19" s="811">
        <f>IF(ISNUMBER(NºAsuntos!G19/NºAsuntos!E19),NºAsuntos!G19/NºAsuntos!E19," - ")</f>
        <v>0.83531935176358441</v>
      </c>
      <c r="C19" s="812">
        <f>IF(ISNUMBER(NºAsuntos!I19/NºAsuntos!G19),NºAsuntos!I19/NºAsuntos!G19," - ")</f>
        <v>0.87261055634807416</v>
      </c>
      <c r="D19" s="813">
        <f>IF(ISNUMBER('Resol  Asuntos'!D19/NºAsuntos!G19),'Resol  Asuntos'!D19/NºAsuntos!G19," - ")</f>
        <v>0.20613409415121256</v>
      </c>
      <c r="E19" s="814">
        <f>IF(ISNUMBER((NºAsuntos!C19+NºAsuntos!E19)/NºAsuntos!G19),(NºAsuntos!C19+NºAsuntos!E19)/NºAsuntos!G19," - ")</f>
        <v>1.7807417974322397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gc14Dly39whCf256CJTfcPfIWhzLsSSSFZ3n9Z2PIaepqXUM78KxANIBKpgA//kfdJaSHVobvhIIl1FN54FTQ==" saltValue="ZGX/ScFmRbmyHxvXOSNz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UTRERA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4</v>
      </c>
      <c r="AB10" s="337">
        <f>IF(ISNUMBER(Datos!R10),Datos!R10," - ")</f>
        <v>2</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0.25</v>
      </c>
      <c r="AM10" s="263">
        <f>IF(ISNUMBER(((NºAsuntos!I10/NºAsuntos!G10)*11)/factor_trimestre),((NºAsuntos!I10/NºAsuntos!G10)*11)/factor_trimestre," - ")</f>
        <v>44</v>
      </c>
      <c r="AN10" s="247">
        <f>IF(ISNUMBER('Resol  Asuntos'!D10/NºAsuntos!G10),'Resol  Asuntos'!D10/NºAsuntos!G10," - ")</f>
        <v>0</v>
      </c>
      <c r="AO10" s="248">
        <f>IF(ISNUMBER((NºAsuntos!C10+NºAsuntos!E10)/NºAsuntos!G10),(NºAsuntos!C10+NºAsuntos!E10)/NºAsuntos!G10," - ")</f>
        <v>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1194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1231</v>
      </c>
      <c r="Y12" s="337">
        <f t="shared" si="0"/>
        <v>1231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5471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806</v>
      </c>
      <c r="AJ12" s="232" t="str">
        <f>IF(ISNUMBER(Datos!BW12),Datos!BW12," - ")</f>
        <v xml:space="preserve"> - </v>
      </c>
      <c r="AK12" s="231" t="str">
        <f>IF(ISNUMBER(Datos!BX12),Datos!BX12," - ")</f>
        <v xml:space="preserve"> - </v>
      </c>
      <c r="AL12" s="246">
        <f>IF(ISNUMBER(NºAsuntos!G12/NºAsuntos!E12),NºAsuntos!G12/NºAsuntos!E12," - ")</f>
        <v>0.79769414835762453</v>
      </c>
      <c r="AM12" s="263">
        <f>IF(ISNUMBER(((NºAsuntos!I12/NºAsuntos!G12)*11)/factor_trimestre),((NºAsuntos!I12/NºAsuntos!G12)*11)/factor_trimestre," - ")</f>
        <v>12.850831742568857</v>
      </c>
      <c r="AN12" s="247">
        <f>IF(ISNUMBER('Resol  Asuntos'!D12/NºAsuntos!G12),'Resol  Asuntos'!D12/NºAsuntos!G12," - ")</f>
        <v>0.21979820016362148</v>
      </c>
      <c r="AO12" s="248">
        <f>IF(ISNUMBER((NºAsuntos!C12+NºAsuntos!E12)/NºAsuntos!G12),(NºAsuntos!C12+NºAsuntos!E12)/NºAsuntos!G12," - ")</f>
        <v>2.0387237523861468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v>
      </c>
      <c r="G13" s="869">
        <f t="shared" si="3"/>
        <v>1</v>
      </c>
      <c r="H13" s="868">
        <f t="shared" si="3"/>
        <v>0</v>
      </c>
      <c r="I13" s="870">
        <f t="shared" si="3"/>
        <v>0</v>
      </c>
      <c r="J13" s="870">
        <f t="shared" si="3"/>
        <v>0</v>
      </c>
      <c r="K13" s="870">
        <f t="shared" si="3"/>
        <v>0</v>
      </c>
      <c r="L13" s="870">
        <f t="shared" si="3"/>
        <v>1194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1231</v>
      </c>
      <c r="Y13" s="871">
        <f t="shared" si="4"/>
        <v>1232</v>
      </c>
      <c r="Z13" s="871">
        <f t="shared" si="4"/>
        <v>0</v>
      </c>
      <c r="AA13" s="871">
        <f t="shared" si="4"/>
        <v>4</v>
      </c>
      <c r="AB13" s="871">
        <f t="shared" si="4"/>
        <v>5473</v>
      </c>
      <c r="AC13" s="871">
        <f t="shared" si="4"/>
        <v>6</v>
      </c>
      <c r="AD13" s="871">
        <f t="shared" si="4"/>
        <v>0</v>
      </c>
      <c r="AE13" s="875">
        <f t="shared" si="4"/>
        <v>0</v>
      </c>
      <c r="AF13" s="868">
        <f t="shared" si="4"/>
        <v>0</v>
      </c>
      <c r="AG13" s="876">
        <f t="shared" si="4"/>
        <v>0</v>
      </c>
      <c r="AH13" s="873">
        <f t="shared" si="4"/>
        <v>0</v>
      </c>
      <c r="AI13" s="868">
        <f t="shared" si="4"/>
        <v>806</v>
      </c>
      <c r="AJ13" s="870">
        <f t="shared" si="4"/>
        <v>0</v>
      </c>
      <c r="AK13" s="873">
        <f>SUBTOTAL(9,AK9:AK12)</f>
        <v>0</v>
      </c>
      <c r="AL13" s="877">
        <f>IF(ISNUMBER(NºAsuntos!G13/NºAsuntos!E13),NºAsuntos!G13/NºAsuntos!E13," - ")</f>
        <v>0.79721799608780697</v>
      </c>
      <c r="AM13" s="877">
        <f>IF(ISNUMBER(((NºAsuntos!I13/NºAsuntos!G13)*11)/factor_trimestre),((NºAsuntos!I13/NºAsuntos!G13)*11)/factor_trimestre," - ")</f>
        <v>12.859323882224647</v>
      </c>
      <c r="AN13" s="878">
        <f>IF(ISNUMBER('Resol  Asuntos'!D13/NºAsuntos!G13),'Resol  Asuntos'!D13/NºAsuntos!G13," - ")</f>
        <v>0.21973827699018539</v>
      </c>
      <c r="AO13" s="879">
        <f>IF(ISNUMBER((NºAsuntos!C13+NºAsuntos!E13)/NºAsuntos!G13),(NºAsuntos!C13+NºAsuntos!E13)/NºAsuntos!G13," - ")</f>
        <v>2.0395310796074155</v>
      </c>
      <c r="AP13" s="880" t="str">
        <f t="shared" si="2"/>
        <v xml:space="preserve"> - </v>
      </c>
      <c r="AQ13" s="880">
        <f>IF(ISNUMBER((H13-W13+K13)/(F13)),(H13-W13+K13)/(F13)," - ")</f>
        <v>-1</v>
      </c>
      <c r="AR13" s="881">
        <f>IF(ISNUMBER((Datos!P13-Datos!Q13)/(Datos!R13-Datos!P13+Datos!Q13)),(Datos!P13-Datos!Q13)/(Datos!R13-Datos!P13+Datos!Q13)," - ")</f>
        <v>-6.7150635208711434E-3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1360</v>
      </c>
      <c r="G16" s="336">
        <f>IF(ISNUMBER(IF(D_I="SI",Datos!I16,Datos!I16+Datos!AC16)),IF(D_I="SI",Datos!I16,Datos!I16+Datos!AC16)," - ")</f>
        <v>1191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3104</v>
      </c>
      <c r="X16" s="229">
        <f>IF(ISNUMBER(Datos!Q16),Datos!Q16," - ")</f>
        <v>109</v>
      </c>
      <c r="Y16" s="337">
        <f t="shared" ref="Y16:Y17" si="7">SUM(W16:X16)</f>
        <v>3213</v>
      </c>
      <c r="Z16" s="338" t="str">
        <f>IF(ISNUMBER(Datos!CC16),Datos!CC16," - ")</f>
        <v xml:space="preserve"> - </v>
      </c>
      <c r="AA16" s="335">
        <f>IF(ISNUMBER(IF(D_I="SI",Datos!L16,Datos!L16+Datos!AF16)),IF(D_I="SI",Datos!L16,Datos!L16+Datos!AF16)," - ")</f>
        <v>1794</v>
      </c>
      <c r="AB16" s="337">
        <f>IF(ISNUMBER(Datos!R16),Datos!R16," - ")</f>
        <v>242</v>
      </c>
      <c r="AC16" s="337">
        <f t="shared" si="6"/>
        <v>2036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537</v>
      </c>
      <c r="AJ16" s="234" t="str">
        <f>IF(ISNUMBER(Datos!BW16),Datos!BW16," - ")</f>
        <v xml:space="preserve"> - </v>
      </c>
      <c r="AK16" s="235" t="str">
        <f>IF(ISNUMBER(Datos!BX16),Datos!BX16," - ")</f>
        <v xml:space="preserve"> - </v>
      </c>
      <c r="AL16" s="246">
        <f>IF(ISNUMBER(NºAsuntos!G16/NºAsuntos!E16),NºAsuntos!G16/NºAsuntos!E16," - ")</f>
        <v>0.87733182589033354</v>
      </c>
      <c r="AM16" s="263">
        <f>IF(ISNUMBER(((NºAsuntos!I16/NºAsuntos!G16)*11)/factor_trimestre),((NºAsuntos!I16/NºAsuntos!G16)*11)/factor_trimestre," - ")</f>
        <v>6.3576030927835046</v>
      </c>
      <c r="AN16" s="247">
        <f>IF(ISNUMBER('Resol  Asuntos'!D16/NºAsuntos!G16),'Resol  Asuntos'!D16/NºAsuntos!G16," - ")</f>
        <v>0.17300257731958762</v>
      </c>
      <c r="AO16" s="248">
        <f>IF(ISNUMBER((NºAsuntos!C16+NºAsuntos!E16)/NºAsuntos!G16),(NºAsuntos!C16+NºAsuntos!E16)/NºAsuntos!G16," - ")</f>
        <v>1.5235180412371134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238</v>
      </c>
      <c r="X17" s="229">
        <f>IF(ISNUMBER(Datos!Q17),Datos!Q17," - ")</f>
        <v>0</v>
      </c>
      <c r="Y17" s="337">
        <f t="shared" si="7"/>
        <v>238</v>
      </c>
      <c r="Z17" s="338" t="str">
        <f>IF(ISNUMBER(Datos!CC17),Datos!CC17," - ")</f>
        <v xml:space="preserve"> - </v>
      </c>
      <c r="AA17" s="335">
        <f>IF(ISNUMBER(Datos!L17),Datos!L17,"-")</f>
        <v>35</v>
      </c>
      <c r="AB17" s="337">
        <f>IF(ISNUMBER(Datos!R17),Datos!R17," - ")</f>
        <v>0</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102</v>
      </c>
      <c r="AJ17" s="234" t="str">
        <f>IF(ISNUMBER(Datos!BW17),Datos!BW17," - ")</f>
        <v xml:space="preserve"> - </v>
      </c>
      <c r="AK17" s="235" t="str">
        <f>IF(ISNUMBER(Datos!BX17),Datos!BX17," - ")</f>
        <v xml:space="preserve"> - </v>
      </c>
      <c r="AL17" s="246">
        <f>IF(ISNUMBER(NºAsuntos!G17/NºAsuntos!E17),NºAsuntos!G17/NºAsuntos!E17," - ")</f>
        <v>0.94071146245059289</v>
      </c>
      <c r="AM17" s="263">
        <f>IF(ISNUMBER(((NºAsuntos!I17/NºAsuntos!G17)*11)/factor_trimestre),((NºAsuntos!I17/NºAsuntos!G17)*11)/factor_trimestre," - ")</f>
        <v>1.6176470588235294</v>
      </c>
      <c r="AN17" s="247">
        <f>IF(ISNUMBER('Resol  Asuntos'!D17/NºAsuntos!G17),'Resol  Asuntos'!D17/NºAsuntos!G17," - ")</f>
        <v>0.42857142857142855</v>
      </c>
      <c r="AO17" s="248">
        <f>IF(ISNUMBER((NºAsuntos!C17+NºAsuntos!E17)/NºAsuntos!G17),(NºAsuntos!C17+NºAsuntos!E17)/NºAsuntos!G17," - ")</f>
        <v>1.1470588235294117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1360</v>
      </c>
      <c r="G18" s="869">
        <f>SUBTOTAL(9,G15:G17)</f>
        <v>1211</v>
      </c>
      <c r="H18" s="868">
        <f t="shared" ref="H18:O18" si="10">SUBTOTAL(9,H14:H17)</f>
        <v>0</v>
      </c>
      <c r="I18" s="870">
        <f t="shared" si="10"/>
        <v>0</v>
      </c>
      <c r="J18" s="870">
        <f t="shared" si="10"/>
        <v>0</v>
      </c>
      <c r="K18" s="870">
        <f t="shared" si="10"/>
        <v>0</v>
      </c>
      <c r="L18" s="870">
        <f t="shared" si="10"/>
        <v>123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3342</v>
      </c>
      <c r="X18" s="870">
        <f t="shared" si="11"/>
        <v>109</v>
      </c>
      <c r="Y18" s="871">
        <f t="shared" si="11"/>
        <v>3451</v>
      </c>
      <c r="Z18" s="871">
        <f t="shared" si="11"/>
        <v>0</v>
      </c>
      <c r="AA18" s="871">
        <f t="shared" si="11"/>
        <v>1829</v>
      </c>
      <c r="AB18" s="871">
        <f t="shared" si="11"/>
        <v>242</v>
      </c>
      <c r="AC18" s="871">
        <f t="shared" si="11"/>
        <v>2071</v>
      </c>
      <c r="AD18" s="871">
        <f t="shared" si="11"/>
        <v>0</v>
      </c>
      <c r="AE18" s="875">
        <f t="shared" si="11"/>
        <v>0</v>
      </c>
      <c r="AF18" s="868">
        <f t="shared" si="11"/>
        <v>0</v>
      </c>
      <c r="AG18" s="876">
        <f t="shared" si="11"/>
        <v>0</v>
      </c>
      <c r="AH18" s="873">
        <f t="shared" si="11"/>
        <v>0</v>
      </c>
      <c r="AI18" s="868">
        <f t="shared" si="11"/>
        <v>639</v>
      </c>
      <c r="AJ18" s="870">
        <f t="shared" si="11"/>
        <v>0</v>
      </c>
      <c r="AK18" s="873">
        <f t="shared" si="11"/>
        <v>0</v>
      </c>
      <c r="AL18" s="877">
        <f>IF(ISNUMBER(NºAsuntos!G18/NºAsuntos!E18),NºAsuntos!G18/NºAsuntos!E18," - ")</f>
        <v>0.88156159324716432</v>
      </c>
      <c r="AM18" s="877">
        <f>IF(ISNUMBER(((NºAsuntos!I18/NºAsuntos!G18)*11)/factor_trimestre),((NºAsuntos!I18/NºAsuntos!G18)*11)/factor_trimestre," - ")</f>
        <v>6.0200478755236384</v>
      </c>
      <c r="AN18" s="878">
        <f>IF(ISNUMBER('Resol  Asuntos'!D18/NºAsuntos!G18),'Resol  Asuntos'!D18/NºAsuntos!G18," - ")</f>
        <v>0.19120287253141832</v>
      </c>
      <c r="AO18" s="879">
        <f>IF(ISNUMBER((NºAsuntos!C18+NºAsuntos!E18)/NºAsuntos!G18),(NºAsuntos!C18+NºAsuntos!E18)/NºAsuntos!G18," - ")</f>
        <v>1.4967085577498505</v>
      </c>
      <c r="AP18" s="880" t="str">
        <f t="shared" si="2"/>
        <v xml:space="preserve"> - </v>
      </c>
      <c r="AQ18" s="880">
        <f>IF(ISNUMBER((H18-W18+K18)/(F18)),(H18-W18+K18)/(F18)," - ")</f>
        <v>-2.4573529411764707</v>
      </c>
      <c r="AR18" s="881">
        <f>IF(ISNUMBER((Datos!P18-Datos!Q18)/(Datos!R18-Datos!P18+Datos!Q18)),(Datos!P18-Datos!Q18)/(Datos!R18-Datos!P18+Datos!Q18)," - ")</f>
        <v>6.1403508771929821E-2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1361</v>
      </c>
      <c r="G19" s="824">
        <f t="shared" si="13"/>
        <v>1212</v>
      </c>
      <c r="H19" s="823">
        <f t="shared" si="13"/>
        <v>0</v>
      </c>
      <c r="I19" s="825">
        <f t="shared" si="13"/>
        <v>0</v>
      </c>
      <c r="J19" s="825">
        <f t="shared" si="13"/>
        <v>0</v>
      </c>
      <c r="K19" s="884">
        <f t="shared" si="13"/>
        <v>0</v>
      </c>
      <c r="L19" s="825">
        <f t="shared" si="13"/>
        <v>1317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3343</v>
      </c>
      <c r="X19" s="824">
        <f t="shared" si="14"/>
        <v>1340</v>
      </c>
      <c r="Y19" s="831">
        <f t="shared" si="14"/>
        <v>4683</v>
      </c>
      <c r="Z19" s="831">
        <f t="shared" si="14"/>
        <v>0</v>
      </c>
      <c r="AA19" s="831">
        <f t="shared" si="14"/>
        <v>1833</v>
      </c>
      <c r="AB19" s="831">
        <f t="shared" si="14"/>
        <v>5715</v>
      </c>
      <c r="AC19" s="831">
        <f t="shared" si="14"/>
        <v>2077</v>
      </c>
      <c r="AD19" s="831">
        <f t="shared" si="14"/>
        <v>0</v>
      </c>
      <c r="AE19" s="833">
        <f t="shared" si="14"/>
        <v>0</v>
      </c>
      <c r="AF19" s="834">
        <f t="shared" si="14"/>
        <v>0</v>
      </c>
      <c r="AG19" s="835">
        <f t="shared" si="14"/>
        <v>0</v>
      </c>
      <c r="AH19" s="833">
        <f t="shared" si="14"/>
        <v>0</v>
      </c>
      <c r="AI19" s="823">
        <f t="shared" si="14"/>
        <v>1445</v>
      </c>
      <c r="AJ19" s="823">
        <f t="shared" si="14"/>
        <v>0</v>
      </c>
      <c r="AK19" s="833">
        <f t="shared" si="14"/>
        <v>0</v>
      </c>
      <c r="AL19" s="887">
        <f>IF(ISNUMBER(NºAsuntos!G19/NºAsuntos!E19),NºAsuntos!G19/NºAsuntos!E19," - ")</f>
        <v>0.83531935176358441</v>
      </c>
      <c r="AM19" s="888">
        <f>IF(ISNUMBER(((NºAsuntos!I19/NºAsuntos!G19)*11)/factor_trimestre),((NºAsuntos!I19/NºAsuntos!G19)*11)/factor_trimestre," - ")</f>
        <v>9.5987161198288149</v>
      </c>
      <c r="AN19" s="888">
        <f>IF(ISNUMBER('Resol  Asuntos'!D19/NºAsuntos!G19),'Resol  Asuntos'!D19/NºAsuntos!G19," - ")</f>
        <v>0.20613409415121256</v>
      </c>
      <c r="AO19" s="889">
        <f>IF(ISNUMBER((NºAsuntos!C19+NºAsuntos!E19)/NºAsuntos!G19),(NºAsuntos!C19+NºAsuntos!E19)/NºAsuntos!G19," - ")</f>
        <v>1.7807417974322397</v>
      </c>
      <c r="AP19" s="890" t="str">
        <f t="shared" si="2"/>
        <v xml:space="preserve"> - </v>
      </c>
      <c r="AQ19" s="891">
        <f>IF(OR(ISNUMBER(FIND("01",Criterios!A8,1)),ISNUMBER(FIND("02",Criterios!A8,1)),ISNUMBER(FIND("03",Criterios!A8,1)),ISNUMBER(FIND("04",Criterios!A8,1))),(I19-W19+K19)/(F19-K19),(H19-W19+K19)/(F19-K19))</f>
        <v>-2.4562821454812638</v>
      </c>
      <c r="AR19" s="892">
        <f>IF(ISNUMBER((Datos!P19-Datos!Q19)/(Datos!R19-Datos!P19+Datos!Q19)),(Datos!P19-Datos!Q19)/(Datos!R19-Datos!P19+Datos!Q19)," - ")</f>
        <v>-4.008365284071105E-3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784.61901582870144</v>
      </c>
      <c r="G21" s="256">
        <f>IF(ISNUMBER(STDEV(G8:G18)),STDEV(G8:G18),"-")</f>
        <v>653.882405329888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1726.2609014862151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350.52798271559811</v>
      </c>
      <c r="AJ21" s="255">
        <f t="shared" si="18"/>
        <v>0</v>
      </c>
      <c r="AK21" s="257">
        <f t="shared" si="18"/>
        <v>0</v>
      </c>
      <c r="AL21" s="252">
        <f t="shared" si="18"/>
        <v>0.25458463633402445</v>
      </c>
      <c r="AM21" s="253">
        <f t="shared" si="18"/>
        <v>15.34937002520897</v>
      </c>
      <c r="AN21" s="253">
        <f t="shared" si="18"/>
        <v>0.1368639405096129</v>
      </c>
      <c r="AO21" s="254">
        <f t="shared" si="18"/>
        <v>1.4108399246104522</v>
      </c>
      <c r="AP21" s="294" t="str">
        <f t="shared" si="18"/>
        <v>-</v>
      </c>
      <c r="AQ21" s="295">
        <f t="shared" si="18"/>
        <v>1.0305041472880421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Xjp6VFcftqSQ+q4rXil6MCWLX8Kp7+0qf+GdAEPkxm0KTSfekKYCefUZ7q+zDc1Q1s7HK5omM8r/I3UUeloEg==" saltValue="Do9rUhoBXUKQjExACb9f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UTRERA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v>
      </c>
      <c r="F10" s="351">
        <f>IF(ISNUMBER((Datos!K10-Datos!U10)/Datos!U10),(Datos!K10-Datos!U10)/Datos!U10," - ")</f>
        <v>-0.66666666666666663</v>
      </c>
      <c r="G10" s="352">
        <f>IF(ISNUMBER((Datos!L10-Datos!V10)/Datos!V10),(Datos!L10-Datos!V10)/Datos!V10," - ")</f>
        <v>3</v>
      </c>
      <c r="H10" s="233" t="str">
        <f>IF(ISNUMBER((Datos!M10-Datos!W10)/Datos!W10),(Datos!M10-Datos!W10)/Datos!W10," - ")</f>
        <v xml:space="preserve"> - </v>
      </c>
      <c r="I10" s="353">
        <f>IF(ISNUMBER((Tasas!C10-Datos!BE10)/Datos!BE10),(Tasas!C10-Datos!BE10)/Datos!BE10," - ")</f>
        <v>11</v>
      </c>
      <c r="J10" s="352" t="str">
        <f>IF(ISNUMBER((Tasas!D10-Datos!BF10)/Datos!BF10),(Tasas!D10-Datos!BF10)/Datos!BF10," - ")</f>
        <v xml:space="preserve"> - </v>
      </c>
      <c r="K10" s="354">
        <f>IF(ISNUMBER((Tasas!E10-Datos!BG10)/Datos!BG10),(Tasas!E10-Datos!BG10)/Datos!BG10," - ")</f>
        <v>2.7500000000000004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-8.9265536723163841E-2</v>
      </c>
      <c r="I12" s="353">
        <f>IF(ISNUMBER((Tasas!C12-Datos!BE12)/Datos!BE12),(Tasas!C12-Datos!BE12)/Datos!BE12," - ")</f>
        <v>0.59473834817315396</v>
      </c>
      <c r="J12" s="352">
        <f>IF(ISNUMBER((Tasas!D12-Datos!BF12)/Datos!BF12),(Tasas!D12-Datos!BF12)/Datos!BF12," - ")</f>
        <v>-0.2301186037049622</v>
      </c>
      <c r="K12" s="354">
        <f>IF(ISNUMBER((Tasas!E12-Datos!BG12)/Datos!BG12),(Tasas!E12-Datos!BG12)/Datos!BG12," - ")</f>
        <v>0.17670500027574632</v>
      </c>
      <c r="M12" t="e">
        <f>IF(Monitorios="SI",Datos!CE12,0)</f>
        <v>#REF!</v>
      </c>
      <c r="N12" t="e">
        <f>IF(Monitorios="SI",Datos!CF12,0)</f>
        <v>#REF!</v>
      </c>
      <c r="O12" t="e">
        <f>IF(Monitorios="SI",Datos!CG12,0)</f>
        <v>#REF!</v>
      </c>
      <c r="P12" t="e">
        <f>IF(Monitorios="SI",Datos!CH12,0)</f>
        <v>#REF!</v>
      </c>
      <c r="Q12">
        <f>IF(J_V="SI",0,Datos!AG12)</f>
        <v>80</v>
      </c>
      <c r="R12">
        <f>IF(J_V="SI",0,Datos!AH12)</f>
        <v>307</v>
      </c>
      <c r="S12">
        <f>IF(J_V="SI",0,Datos!AI12)</f>
        <v>318</v>
      </c>
      <c r="T12">
        <f>IF(J_V="SI",0,Datos!AJ12)</f>
        <v>69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-8.9265536723163841E-2</v>
      </c>
      <c r="I13" s="360">
        <f>IF(ISNUMBER((Tasas!C13-Datos!BE13)/Datos!BE13),(Tasas!C13-Datos!BE13)/Datos!BE13," - ")</f>
        <v>0.59645583424209392</v>
      </c>
      <c r="J13" s="358">
        <f>IF(ISNUMBER((Tasas!D13-Datos!BF13)/Datos!BF13),(Tasas!D13-Datos!BF13)/Datos!BF13," - ")</f>
        <v>-0.22974095953440368</v>
      </c>
      <c r="K13" s="361">
        <f>IF(ISNUMBER((Tasas!E13-Datos!BG13)/Datos!BG13),(Tasas!E13-Datos!BG13)/Datos!BG13," - ")</f>
        <v>0.17737791517627549</v>
      </c>
      <c r="M13" t="e">
        <f>IF(Monitorios="SI",Datos!CE13,0)</f>
        <v>#REF!</v>
      </c>
      <c r="N13" t="e">
        <f>IF(Monitorios="SI",Datos!CF13,0)</f>
        <v>#REF!</v>
      </c>
      <c r="O13" t="e">
        <f>IF(Monitorios="SI",Datos!CG13,0)</f>
        <v>#REF!</v>
      </c>
      <c r="P13" t="e">
        <f>IF(Monitorios="SI",Datos!CH13,0)</f>
        <v>#REF!</v>
      </c>
      <c r="Q13">
        <f>IF(J_V="SI",0,Datos!AG13)</f>
        <v>80</v>
      </c>
      <c r="R13">
        <f>IF(J_V="SI",0,Datos!AH13)</f>
        <v>307</v>
      </c>
      <c r="S13">
        <f>IF(J_V="SI",0,Datos!AI13)</f>
        <v>318</v>
      </c>
      <c r="T13">
        <f>IF(J_V="SI",0,Datos!AJ13)</f>
        <v>69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8.4033613445378156E-4</v>
      </c>
      <c r="E16" s="351">
        <f>IF(ISNUMBER(
   IF(D_I="SI",(Datos!J16-Datos!T16)/Datos!T16,(Datos!J16+Datos!AD16-(Datos!T16+Datos!AL16))/(Datos!T16+Datos!AL16))
     ),IF(D_I="SI",(Datos!J16-Datos!T16)/Datos!T16,(Datos!J16+Datos!AD16-(Datos!T16+Datos!AL16))/(Datos!T16+Datos!AL16))," - ")</f>
        <v>0.10700876095118898</v>
      </c>
      <c r="F16" s="351">
        <f>IF(ISNUMBER(
   IF(D_I="SI",(Datos!K16-Datos!U16)/Datos!U16,(Datos!K16+Datos!AE16-(Datos!U16+Datos!AM16))/(Datos!U16+Datos!AM16))
     ),IF(D_I="SI",(Datos!K16-Datos!U16)/Datos!U16,(Datos!K16+Datos!AE16-(Datos!U16+Datos!AM16))/(Datos!U16+Datos!AM16))," - ")</f>
        <v>-3.3021806853582553E-2</v>
      </c>
      <c r="G16" s="352">
        <f>IF(ISNUMBER(
   IF(D_I="SI",(Datos!L16-Datos!V16)/Datos!V16,(Datos!L16+Datos!AF16-(Datos!V16+Datos!AN16))/(Datos!V16+Datos!AN16))
     ),IF(D_I="SI",(Datos!L16-Datos!V16)/Datos!V16,(Datos!L16+Datos!AF16-(Datos!V16+Datos!AN16))/(Datos!V16+Datos!AN16))," - ")</f>
        <v>0.50629722921914355</v>
      </c>
      <c r="H16" s="233">
        <f>IF(ISNUMBER((Datos!M16-Datos!W16)/Datos!W16),(Datos!M16-Datos!W16)/Datos!W16," - ")</f>
        <v>-7.5731497418244406E-2</v>
      </c>
      <c r="I16" s="353">
        <f>IF(ISNUMBER((Tasas!C16-Datos!BE16)/Datos!BE16),(Tasas!C16-Datos!BE16)/Datos!BE16," - ")</f>
        <v>0.55773650315510637</v>
      </c>
      <c r="J16" s="352">
        <f>IF(ISNUMBER((Tasas!D16-Datos!BF16)/Datos!BF16),(Tasas!D16-Datos!BF16)/Datos!BF16," - ")</f>
        <v>-4.4168204482140594E-2</v>
      </c>
      <c r="K16" s="354">
        <f>IF(ISNUMBER((Tasas!E16-Datos!BG16)/Datos!BG16),(Tasas!E16-Datos!BG16)/Datos!BG16," - ")</f>
        <v>0.11502346383290796</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-0.13043478260869565</v>
      </c>
      <c r="E17" s="351">
        <f>IF(ISNUMBER(
   IF(D_I="SI",(Datos!J17-Datos!T17)/Datos!T17,(Datos!J17+Datos!AD17-(Datos!T17+Datos!AL17))/(Datos!T17+Datos!AL17))
     ),IF(D_I="SI",(Datos!J17-Datos!T17)/Datos!T17,(Datos!J17+Datos!AD17-(Datos!T17+Datos!AL17))/(Datos!T17+Datos!AL17))," - ")</f>
        <v>-5.9479553903345722E-2</v>
      </c>
      <c r="F17" s="351">
        <f>IF(ISNUMBER(
   IF(D_I="SI",(Datos!K17-Datos!U17)/Datos!U17,(Datos!K17+Datos!AE17-(Datos!U17+Datos!AM17))/(Datos!U17+Datos!AM17))
     ),IF(D_I="SI",(Datos!K17-Datos!U17)/Datos!U17,(Datos!K17+Datos!AE17-(Datos!U17+Datos!AM17))/(Datos!U17+Datos!AM17))," - ")</f>
        <v>-0.15302491103202848</v>
      </c>
      <c r="G17" s="352">
        <f>IF(ISNUMBER(
   IF(D_I="SI",(Datos!L17-Datos!V17)/Datos!V17,(Datos!L17+Datos!AF17-(Datos!V17+Datos!AN17))/(Datos!V17+Datos!AN17))
     ),IF(D_I="SI",(Datos!L17-Datos!V17)/Datos!V17,(Datos!L17+Datos!AF17-(Datos!V17+Datos!AN17))/(Datos!V17+Datos!AN17))," - ")</f>
        <v>0.75</v>
      </c>
      <c r="H17" s="233">
        <f>IF(ISNUMBER((Datos!M17-Datos!W17)/Datos!W17),(Datos!M17-Datos!W17)/Datos!W17," - ")</f>
        <v>0.27500000000000002</v>
      </c>
      <c r="I17" s="353">
        <f>IF(ISNUMBER((Tasas!C17-Datos!BE17)/Datos!BE17),(Tasas!C17-Datos!BE17)/Datos!BE17," - ")</f>
        <v>1.0661764705882351</v>
      </c>
      <c r="J17" s="352">
        <f>IF(ISNUMBER((Tasas!D17-Datos!BF17)/Datos!BF17),(Tasas!D17-Datos!BF17)/Datos!BF17," - ")</f>
        <v>0.50535714285714262</v>
      </c>
      <c r="K17" s="354">
        <f>IF(ISNUMBER((Tasas!E17-Datos!BG17)/Datos!BG17),(Tasas!E17-Datos!BG17)/Datos!BG17," - ")</f>
        <v>0.10384770346494757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-1.6488046166529267E-3</v>
      </c>
      <c r="E18" s="357">
        <f>IF(ISNUMBER(
   IF(D_I="SI",(Datos!J18-Datos!T18)/Datos!T18,(Datos!J18+Datos!AD18-(Datos!T18+Datos!AL18))/(Datos!T18+Datos!AL18))
     ),IF(D_I="SI",(Datos!J18-Datos!T18)/Datos!T18,(Datos!J18+Datos!AD18-(Datos!T18+Datos!AL18))/(Datos!T18+Datos!AL18))," - ")</f>
        <v>9.4083694083694089E-2</v>
      </c>
      <c r="F18" s="357">
        <f>IF(ISNUMBER(
   IF(D_I="SI",(Datos!K18-Datos!U18)/Datos!U18,(Datos!K18+Datos!AE18-(Datos!U18+Datos!AM18))/(Datos!U18+Datos!AM18))
     ),IF(D_I="SI",(Datos!K18-Datos!U18)/Datos!U18,(Datos!K18+Datos!AE18-(Datos!U18+Datos!AM18))/(Datos!U18+Datos!AM18))," - ")</f>
        <v>-4.2681180177599538E-2</v>
      </c>
      <c r="G18" s="358">
        <f>IF(ISNUMBER(
   IF(D_I="SI",(Datos!L18-Datos!V18)/Datos!V18,(Datos!L18+Datos!AF18-(Datos!V18+Datos!AN18))/(Datos!V18+Datos!AN18))
     ),IF(D_I="SI",(Datos!L18-Datos!V18)/Datos!V18,(Datos!L18+Datos!AF18-(Datos!V18+Datos!AN18))/(Datos!V18+Datos!AN18))," - ")</f>
        <v>0.51032204789430224</v>
      </c>
      <c r="H18" s="359">
        <f>IF(ISNUMBER((Datos!M18-Datos!W18)/Datos!W18),(Datos!M18-Datos!W18)/Datos!W18," - ")</f>
        <v>-3.3282904689863842E-2</v>
      </c>
      <c r="I18" s="360">
        <f>IF(ISNUMBER((Tasas!C18-Datos!BE18)/Datos!BE18),(Tasas!C18-Datos!BE18)/Datos!BE18," - ")</f>
        <v>0.57765836900030187</v>
      </c>
      <c r="J18" s="358">
        <f>IF(ISNUMBER((Tasas!D18-Datos!BF18)/Datos!BF18),(Tasas!D18-Datos!BF18)/Datos!BF18," - ")</f>
        <v>9.8172889669915255E-3</v>
      </c>
      <c r="K18" s="361">
        <f>IF(ISNUMBER((Tasas!E18-Datos!BG18)/Datos!BG18),(Tasas!E18-Datos!BG18)/Datos!BG18," - ")</f>
        <v>0.11693235893645322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-5.4759704251386321E-2</v>
      </c>
      <c r="E19" s="366">
        <f>IF(ISNUMBER(
   IF(J_V="SI",(Datos!J19-Datos!T19)/Datos!T19,(Datos!J19+Datos!Z19-(Datos!T19+Datos!AH19))/(Datos!T19+Datos!AH19))
     ),IF(J_V="SI",(Datos!J19-Datos!T19)/Datos!T19,(Datos!J19+Datos!Z19-(Datos!T19+Datos!AH19))/(Datos!T19+Datos!AH19))," - ")</f>
        <v>0.17157615524221695</v>
      </c>
      <c r="F19" s="366">
        <f>IF(ISNUMBER(
   IF(J_V="SI",(Datos!K19-Datos!U19)/Datos!U19,(Datos!K19+Datos!AA19-(Datos!U19+Datos!AI19))/(Datos!U19+Datos!AI19))
     ),IF(J_V="SI",(Datos!K19-Datos!U19)/Datos!U19,(Datos!K19+Datos!AA19-(Datos!U19+Datos!AI19))/(Datos!U19+Datos!AI19))," - ")</f>
        <v>-5.5765086206896554E-2</v>
      </c>
      <c r="G19" s="367">
        <f>IF(ISNUMBER(
   IF(J_V="SI",(Datos!L19-Datos!V19)/Datos!V19,(Datos!L19+Datos!AB19-(Datos!V19+Datos!AJ19))/(Datos!V19+Datos!AJ19))
     ),IF(J_V="SI",(Datos!L19-Datos!V19)/Datos!V19,(Datos!L19+Datos!AB19-(Datos!V19+Datos!AJ19))/(Datos!V19+Datos!AJ19))," - ")</f>
        <v>0.49523343925690538</v>
      </c>
      <c r="H19" s="368">
        <f>IF(ISNUMBER((Datos!M19-Datos!W19)/Datos!W19),(Datos!M19-Datos!W19)/Datos!W19," - ")</f>
        <v>-6.5329883570504524E-2</v>
      </c>
      <c r="I19" s="365">
        <f>IF(ISNUMBER((Tasas!C19-Datos!BE19)/Datos!BE19),(Tasas!C19-Datos!BE19)/Datos!BE19," - ")</f>
        <v>0.58353966519875411</v>
      </c>
      <c r="J19" s="366">
        <f>IF(ISNUMBER((Tasas!D19-Datos!BF19)/Datos!BF19),(Tasas!D19-Datos!BF19)/Datos!BF19," - ")</f>
        <v>-0.14170526361267416</v>
      </c>
      <c r="K19" s="367">
        <f>IF(ISNUMBER((Tasas!E19-Datos!BG19)/Datos!BG19),(Tasas!E19-Datos!BG19)/Datos!BG19," - ")</f>
        <v>0.15048534541266623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7.508348769877625E-2</v>
      </c>
      <c r="E21" s="281">
        <f t="shared" si="1"/>
        <v>7.9218853613604728E-2</v>
      </c>
      <c r="F21" s="281">
        <f t="shared" si="1"/>
        <v>0.3001890149406321</v>
      </c>
      <c r="G21" s="282">
        <f t="shared" si="1"/>
        <v>1.2109363654688383</v>
      </c>
      <c r="H21" s="288">
        <f t="shared" si="1"/>
        <v>0.15682251572030065</v>
      </c>
      <c r="I21" s="280">
        <f t="shared" si="1"/>
        <v>4.2181911167217763</v>
      </c>
      <c r="J21" s="281">
        <f t="shared" si="1"/>
        <v>0.30130702029713757</v>
      </c>
      <c r="K21" s="282">
        <f t="shared" si="1"/>
        <v>1.0668401047903417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wd0YKEinmvVmJIAK/5Wtg8+oKoVvrVfjAluBBzUw+J5ktbCXUeG6SEPGEKFn/gd2G9E1NxEfKrPq+CRa3ngdw==" saltValue="sUzIfPd3tSvJZvZhqPNi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